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77"/>
  </bookViews>
  <sheets>
    <sheet name="DESCRICION DE CARGO" sheetId="1" r:id="rId1"/>
    <sheet name="COMPARACION POR PARES  " sheetId="2" r:id="rId2"/>
    <sheet name="COMPARACION POR PUNTOS " sheetId="3" r:id="rId3"/>
    <sheet name="CATEGORIA Y NIVELES" sheetId="4" r:id="rId4"/>
    <sheet name="COMPARACION DE FACTORES " sheetId="6" r:id="rId5"/>
    <sheet name="DEFINICION DE GRADO DE FACTOR " sheetId="11" r:id="rId6"/>
    <sheet name="ASIGNACION DE PUNTOS TBL 1 " sheetId="12" r:id="rId7"/>
    <sheet name=" ASIGNACION DE PUNTOS TBL 2" sheetId="13" r:id="rId8"/>
    <sheet name="AJUSTES A LA ESCALA SALARIAL " sheetId="15" r:id="rId9"/>
    <sheet name="ENCUESTA SALARIAL" sheetId="17" r:id="rId10"/>
    <sheet name="PERFIL GERENTE" sheetId="18" r:id="rId11"/>
    <sheet name="PERFIL DIRECTOR PRODUCCION " sheetId="19" r:id="rId12"/>
    <sheet name="PERFIL ASISTENTE MERCADEO-VENTA" sheetId="20" r:id="rId13"/>
    <sheet name="PERFIL AXULIAR COMPRAS" sheetId="21" r:id="rId14"/>
    <sheet name="PERFIL AXU.FABRICACION-SOLDADOR" sheetId="22" r:id="rId15"/>
  </sheets>
  <calcPr calcId="144525"/>
</workbook>
</file>

<file path=xl/calcChain.xml><?xml version="1.0" encoding="utf-8"?>
<calcChain xmlns="http://schemas.openxmlformats.org/spreadsheetml/2006/main">
  <c r="B10" i="15" l="1"/>
  <c r="C20" i="3" l="1"/>
  <c r="C3" i="15" l="1"/>
  <c r="C4" i="15"/>
  <c r="C5" i="15"/>
  <c r="C6" i="15" l="1"/>
  <c r="C7" i="15"/>
  <c r="C8" i="15"/>
  <c r="G31" i="17"/>
  <c r="G30" i="17"/>
  <c r="G29" i="17"/>
  <c r="G28" i="17"/>
  <c r="G27" i="17"/>
  <c r="F31" i="17"/>
  <c r="F30" i="17"/>
  <c r="F29" i="17"/>
  <c r="F28" i="17"/>
  <c r="F27" i="17"/>
  <c r="E31" i="17"/>
  <c r="E30" i="17"/>
  <c r="E29" i="17"/>
  <c r="E28" i="17"/>
  <c r="E27" i="17"/>
  <c r="D31" i="17"/>
  <c r="D30" i="17"/>
  <c r="D29" i="17"/>
  <c r="D28" i="17"/>
  <c r="D27" i="17"/>
  <c r="C31" i="17"/>
  <c r="C30" i="17"/>
  <c r="C29" i="17"/>
  <c r="C28" i="17"/>
  <c r="C27" i="17"/>
  <c r="D14" i="13" l="1"/>
  <c r="D15" i="13"/>
  <c r="D16" i="13"/>
  <c r="D17" i="13"/>
  <c r="D18" i="13"/>
  <c r="D13" i="13"/>
  <c r="H21" i="6" l="1"/>
  <c r="H22" i="6"/>
  <c r="H23" i="6"/>
  <c r="H24" i="6"/>
  <c r="H25" i="6"/>
  <c r="B35" i="17" l="1"/>
  <c r="H27" i="17" l="1"/>
  <c r="H30" i="17"/>
  <c r="H28" i="17"/>
  <c r="H31" i="17"/>
  <c r="H29" i="17"/>
  <c r="B5" i="13"/>
  <c r="B6" i="13"/>
  <c r="B7" i="13"/>
  <c r="B8" i="13"/>
  <c r="B4" i="13"/>
  <c r="B9" i="13"/>
  <c r="C3" i="12"/>
  <c r="E3" i="12" s="1"/>
  <c r="C4" i="12"/>
  <c r="E4" i="12" s="1"/>
  <c r="C5" i="12"/>
  <c r="E5" i="12" s="1"/>
  <c r="C6" i="12"/>
  <c r="E6" i="12" s="1"/>
  <c r="C7" i="12"/>
  <c r="E7" i="12" s="1"/>
  <c r="C8" i="12"/>
  <c r="E8" i="12" s="1"/>
  <c r="B9" i="12"/>
  <c r="C9" i="12" l="1"/>
  <c r="C16" i="3"/>
  <c r="B12" i="6" s="1"/>
  <c r="B25" i="3"/>
  <c r="B24" i="3" s="1"/>
  <c r="B16" i="6"/>
  <c r="C9" i="2"/>
  <c r="D9" i="2"/>
  <c r="E9" i="2"/>
  <c r="F9" i="2"/>
  <c r="B9" i="2"/>
  <c r="G5" i="2"/>
  <c r="G6" i="2"/>
  <c r="G7" i="2"/>
  <c r="G8" i="2"/>
  <c r="G4" i="2"/>
  <c r="H5" i="2" s="1"/>
  <c r="E5" i="1"/>
  <c r="E6" i="1"/>
  <c r="E7" i="1"/>
  <c r="E8" i="1"/>
  <c r="E4" i="1"/>
  <c r="F5" i="1" s="1"/>
  <c r="G4" i="3"/>
  <c r="G5" i="3"/>
  <c r="G6" i="3"/>
  <c r="G7" i="3"/>
  <c r="G8" i="3"/>
  <c r="A14" i="2"/>
  <c r="C16" i="6" l="1"/>
  <c r="B8" i="17"/>
  <c r="B27" i="17" s="1"/>
  <c r="I27" i="17" s="1"/>
  <c r="C12" i="6"/>
  <c r="B4" i="17"/>
  <c r="B31" i="17" s="1"/>
  <c r="I31" i="17" s="1"/>
  <c r="J31" i="17" s="1"/>
  <c r="K31" i="17" s="1"/>
  <c r="H6" i="3"/>
  <c r="F6" i="1"/>
  <c r="C17" i="3"/>
  <c r="F8" i="1"/>
  <c r="F4" i="1"/>
  <c r="F7" i="1"/>
  <c r="H8" i="2"/>
  <c r="H6" i="2"/>
  <c r="H4" i="3"/>
  <c r="H7" i="3"/>
  <c r="H5" i="3"/>
  <c r="G9" i="2"/>
  <c r="H4" i="2"/>
  <c r="H7" i="2"/>
  <c r="H8" i="3"/>
  <c r="C14" i="13"/>
  <c r="C15" i="13"/>
  <c r="E15" i="13" s="1"/>
  <c r="D6" i="13" s="1"/>
  <c r="C16" i="13"/>
  <c r="C17" i="13"/>
  <c r="C18" i="13"/>
  <c r="C13" i="13"/>
  <c r="E16" i="13"/>
  <c r="D7" i="13" s="1"/>
  <c r="H33" i="13" s="1"/>
  <c r="J27" i="17" l="1"/>
  <c r="K27" i="17" s="1"/>
  <c r="F30" i="13"/>
  <c r="F31" i="13"/>
  <c r="F32" i="13"/>
  <c r="F29" i="13"/>
  <c r="C18" i="3"/>
  <c r="B13" i="6"/>
  <c r="E18" i="13"/>
  <c r="D9" i="13" s="1"/>
  <c r="E14" i="13"/>
  <c r="D5" i="13" s="1"/>
  <c r="E17" i="13"/>
  <c r="D8" i="13" s="1"/>
  <c r="J33" i="13" s="1"/>
  <c r="C7" i="13"/>
  <c r="E7" i="13" s="1"/>
  <c r="F7" i="13" s="1"/>
  <c r="E13" i="13"/>
  <c r="D4" i="13" s="1"/>
  <c r="C6" i="13"/>
  <c r="E6" i="13" s="1"/>
  <c r="F6" i="13" s="1"/>
  <c r="G6" i="13" s="1"/>
  <c r="F33" i="13" s="1"/>
  <c r="C13" i="6" l="1"/>
  <c r="B5" i="17"/>
  <c r="B30" i="17" s="1"/>
  <c r="I30" i="17" s="1"/>
  <c r="J30" i="17" s="1"/>
  <c r="K30" i="17" s="1"/>
  <c r="G7" i="13"/>
  <c r="H31" i="13" s="1"/>
  <c r="L30" i="13"/>
  <c r="L31" i="13"/>
  <c r="L32" i="13"/>
  <c r="L29" i="13"/>
  <c r="C19" i="3"/>
  <c r="B15" i="6" s="1"/>
  <c r="B14" i="6"/>
  <c r="C5" i="13"/>
  <c r="E5" i="13" s="1"/>
  <c r="F5" i="13" s="1"/>
  <c r="C4" i="13"/>
  <c r="E4" i="13" s="1"/>
  <c r="C9" i="13"/>
  <c r="E9" i="13" s="1"/>
  <c r="C8" i="13"/>
  <c r="E8" i="13" s="1"/>
  <c r="H32" i="13" l="1"/>
  <c r="C14" i="6"/>
  <c r="B6" i="17"/>
  <c r="B29" i="17" s="1"/>
  <c r="I29" i="17" s="1"/>
  <c r="J29" i="17" s="1"/>
  <c r="K29" i="17" s="1"/>
  <c r="C15" i="6"/>
  <c r="B7" i="17"/>
  <c r="B28" i="17" s="1"/>
  <c r="I28" i="17" s="1"/>
  <c r="F8" i="13"/>
  <c r="J29" i="13" s="1"/>
  <c r="J30" i="13"/>
  <c r="J32" i="13"/>
  <c r="F9" i="13"/>
  <c r="G9" i="13" s="1"/>
  <c r="L33" i="13"/>
  <c r="F4" i="13"/>
  <c r="B33" i="13"/>
  <c r="G5" i="13"/>
  <c r="D32" i="13"/>
  <c r="H30" i="13"/>
  <c r="H29" i="13"/>
  <c r="J31" i="13" l="1"/>
  <c r="K28" i="17"/>
  <c r="J28" i="17"/>
  <c r="H5" i="13"/>
  <c r="D31" i="13"/>
  <c r="D33" i="13"/>
  <c r="N33" i="13" s="1"/>
  <c r="J3" i="15" s="1"/>
  <c r="B3" i="15" s="1"/>
  <c r="G4" i="13"/>
  <c r="H4" i="13" s="1"/>
  <c r="I4" i="13" s="1"/>
  <c r="B31" i="13"/>
  <c r="N31" i="13" s="1"/>
  <c r="B32" i="13"/>
  <c r="N32" i="13" s="1"/>
  <c r="J4" i="15" s="1"/>
  <c r="B4" i="15" s="1"/>
  <c r="J5" i="15" l="1"/>
  <c r="B5" i="15" s="1"/>
  <c r="D5" i="15" s="1"/>
  <c r="D3" i="15"/>
  <c r="E3" i="15"/>
  <c r="E4" i="15"/>
  <c r="D4" i="15"/>
  <c r="B29" i="13"/>
  <c r="B30" i="13"/>
  <c r="D30" i="13"/>
  <c r="D29" i="13"/>
  <c r="E5" i="15" l="1"/>
  <c r="N30" i="13"/>
  <c r="J6" i="15" s="1"/>
  <c r="B6" i="15" s="1"/>
  <c r="N29" i="13"/>
  <c r="J7" i="15" s="1"/>
  <c r="B7" i="15" s="1"/>
  <c r="E7" i="15" l="1"/>
  <c r="D7" i="15"/>
  <c r="E6" i="15"/>
  <c r="D6" i="15"/>
  <c r="B8" i="15"/>
  <c r="D8" i="15" l="1"/>
  <c r="C14" i="15" s="1"/>
  <c r="E8" i="15"/>
  <c r="C20" i="15" s="1"/>
  <c r="C19" i="15" l="1"/>
  <c r="F19" i="15" s="1"/>
  <c r="C15" i="15"/>
  <c r="F14" i="15" s="1"/>
  <c r="F3" i="15" l="1"/>
  <c r="F4" i="15"/>
  <c r="F5" i="15"/>
  <c r="F6" i="15"/>
  <c r="F7" i="15"/>
</calcChain>
</file>

<file path=xl/sharedStrings.xml><?xml version="1.0" encoding="utf-8"?>
<sst xmlns="http://schemas.openxmlformats.org/spreadsheetml/2006/main" count="993" uniqueCount="455">
  <si>
    <t xml:space="preserve">DESCRICION DE CARGO </t>
  </si>
  <si>
    <t xml:space="preserve">CARGO </t>
  </si>
  <si>
    <t>PROMEDIO</t>
  </si>
  <si>
    <t xml:space="preserve">PUESTO </t>
  </si>
  <si>
    <t xml:space="preserve">COMPARACION POR PARES </t>
  </si>
  <si>
    <t>CARGOS</t>
  </si>
  <si>
    <t xml:space="preserve">PUESTOS </t>
  </si>
  <si>
    <t>N*(N-1)/2</t>
  </si>
  <si>
    <t xml:space="preserve">CARGOS </t>
  </si>
  <si>
    <t>CATEGORIAS</t>
  </si>
  <si>
    <t>GRADOS</t>
  </si>
  <si>
    <t>DIRECTIVA</t>
  </si>
  <si>
    <t xml:space="preserve">MISIONAL </t>
  </si>
  <si>
    <t>TECNICA</t>
  </si>
  <si>
    <t xml:space="preserve">DEPARTAMENTOS FUNCIONALES </t>
  </si>
  <si>
    <t>SALARIO</t>
  </si>
  <si>
    <t xml:space="preserve">DETERMINACION DE SALARIO </t>
  </si>
  <si>
    <t xml:space="preserve">SALARIO MAXIMO </t>
  </si>
  <si>
    <t xml:space="preserve">SALRIO MINIMO </t>
  </si>
  <si>
    <t xml:space="preserve">CATEGORIAS Y NIVELES </t>
  </si>
  <si>
    <t>A</t>
  </si>
  <si>
    <t>B</t>
  </si>
  <si>
    <t xml:space="preserve">COMPARACION DE FACTORES </t>
  </si>
  <si>
    <t xml:space="preserve">ORDEN </t>
  </si>
  <si>
    <t xml:space="preserve">REQUISITOS MENTALES  </t>
  </si>
  <si>
    <t>HABILIDAD</t>
  </si>
  <si>
    <t xml:space="preserve">REQUISITOS FISICOS </t>
  </si>
  <si>
    <t xml:space="preserve">RESPONSABILIDAD </t>
  </si>
  <si>
    <t xml:space="preserve">CONDICIONES DE TRABAJO </t>
  </si>
  <si>
    <t>SALARIO DIA</t>
  </si>
  <si>
    <t xml:space="preserve">REQUISITOS MENTALES </t>
  </si>
  <si>
    <t xml:space="preserve">HABILIDAD </t>
  </si>
  <si>
    <t xml:space="preserve">SALARIO MES Y DIA </t>
  </si>
  <si>
    <t xml:space="preserve">MES </t>
  </si>
  <si>
    <t>DIA</t>
  </si>
  <si>
    <t>RANGO</t>
  </si>
  <si>
    <t xml:space="preserve">RANGO </t>
  </si>
  <si>
    <t xml:space="preserve">SALARIO </t>
  </si>
  <si>
    <t>I</t>
  </si>
  <si>
    <t>II</t>
  </si>
  <si>
    <t>III</t>
  </si>
  <si>
    <t>IV</t>
  </si>
  <si>
    <t>V</t>
  </si>
  <si>
    <t>VI</t>
  </si>
  <si>
    <t>EDUCACION</t>
  </si>
  <si>
    <t xml:space="preserve">EXPERIENCIA </t>
  </si>
  <si>
    <t xml:space="preserve">ESFUERZO FISICO </t>
  </si>
  <si>
    <t xml:space="preserve">CONDICION DE TRABAJO </t>
  </si>
  <si>
    <t xml:space="preserve">ESFUERZO MENTAL </t>
  </si>
  <si>
    <t xml:space="preserve">FACTOR </t>
  </si>
  <si>
    <t xml:space="preserve">PONDERACION </t>
  </si>
  <si>
    <t xml:space="preserve">PUNTOS GRADO MAXIMO </t>
  </si>
  <si>
    <t xml:space="preserve">PUNTOS GRADOS MINIMO </t>
  </si>
  <si>
    <t>FACTOR</t>
  </si>
  <si>
    <t xml:space="preserve">EDUCACION </t>
  </si>
  <si>
    <t>ESFUERSO FISICO</t>
  </si>
  <si>
    <t xml:space="preserve">ESFUERSO MENTAL </t>
  </si>
  <si>
    <t>PUNTOS</t>
  </si>
  <si>
    <t xml:space="preserve">GRADOS </t>
  </si>
  <si>
    <t xml:space="preserve">PUNTOS </t>
  </si>
  <si>
    <t xml:space="preserve">NUMERO GRADOS </t>
  </si>
  <si>
    <t>R</t>
  </si>
  <si>
    <t>X</t>
  </si>
  <si>
    <t>X.Y</t>
  </si>
  <si>
    <t xml:space="preserve">SALARIO DIARIO AJUSTADOS </t>
  </si>
  <si>
    <t xml:space="preserve">SUMATORIA </t>
  </si>
  <si>
    <t>GRADO</t>
  </si>
  <si>
    <t>GERENTE</t>
  </si>
  <si>
    <t>EXPERIENCIA</t>
  </si>
  <si>
    <t>EXFUERZO FISICO</t>
  </si>
  <si>
    <t>ESFUERZO MENTAL</t>
  </si>
  <si>
    <t>RESPONSABILIDAD</t>
  </si>
  <si>
    <t>BACHILLER</t>
  </si>
  <si>
    <t>TECNICO</t>
  </si>
  <si>
    <t>TECNOLOGO</t>
  </si>
  <si>
    <t>PROFESIONAL</t>
  </si>
  <si>
    <t>MAESTRIA</t>
  </si>
  <si>
    <t>SIN EXPERIENCIA</t>
  </si>
  <si>
    <t>0-6 MESES</t>
  </si>
  <si>
    <t>6 MESES A 1 AÑO</t>
  </si>
  <si>
    <t>1 AÑO A DOS AÑOS</t>
  </si>
  <si>
    <t xml:space="preserve">MAS DE DOS AÑOS </t>
  </si>
  <si>
    <t xml:space="preserve">POCO ESFUERZO MENTAL </t>
  </si>
  <si>
    <t xml:space="preserve">POCA CONCENTRACION </t>
  </si>
  <si>
    <t>MATERIALES</t>
  </si>
  <si>
    <t>TRANQUILO</t>
  </si>
  <si>
    <t>INTEMPERIE</t>
  </si>
  <si>
    <t>OFICINA</t>
  </si>
  <si>
    <t>SENTADO</t>
  </si>
  <si>
    <t>DE PIE</t>
  </si>
  <si>
    <t>MOVIMIENTO CONSTANTE</t>
  </si>
  <si>
    <t xml:space="preserve">LEVANTAMIENTO DE MATERIALES PESADOS </t>
  </si>
  <si>
    <t>ESFUERZO FISICO</t>
  </si>
  <si>
    <t>RESPONSABILIDADES</t>
  </si>
  <si>
    <t>CONDICIONES DE TRABAJO</t>
  </si>
  <si>
    <t>DIVISOR</t>
  </si>
  <si>
    <t xml:space="preserve">PLAN DE PUNTOS </t>
  </si>
  <si>
    <t xml:space="preserve">Director produccion </t>
  </si>
  <si>
    <t xml:space="preserve">Asistente mercadeo y ventas </t>
  </si>
  <si>
    <t>Auxiliar compras</t>
  </si>
  <si>
    <t xml:space="preserve">Auxiliar fabricacion-Soldador </t>
  </si>
  <si>
    <t xml:space="preserve">Gerente </t>
  </si>
  <si>
    <t>C1 (Laura Espinosa)</t>
  </si>
  <si>
    <t>C2 (Angelica Lotero)</t>
  </si>
  <si>
    <t>C3 (Juliana Suarez)</t>
  </si>
  <si>
    <t>Gerente</t>
  </si>
  <si>
    <t xml:space="preserve">NUMERO CRUCES  </t>
  </si>
  <si>
    <t>+</t>
  </si>
  <si>
    <t xml:space="preserve">TOTAL </t>
  </si>
  <si>
    <t>VALIDACION</t>
  </si>
  <si>
    <t>Escala variacion (1 a 5)</t>
  </si>
  <si>
    <t>Siendo 1 (el mas bajo) y 5 (el mas alto)</t>
  </si>
  <si>
    <t>Director Produccion</t>
  </si>
  <si>
    <t>Asistente mercadeo y ventas</t>
  </si>
  <si>
    <t>Auxiliar fabricacion-Soldador</t>
  </si>
  <si>
    <t>Rango salarial  salrio maximo- salario minimo /(n-1)</t>
  </si>
  <si>
    <t>Administrativo</t>
  </si>
  <si>
    <t>Produccion</t>
  </si>
  <si>
    <t>Marketing</t>
  </si>
  <si>
    <t xml:space="preserve">Compras </t>
  </si>
  <si>
    <t>ORDEN</t>
  </si>
  <si>
    <t>COMPARACION POR PARES</t>
  </si>
  <si>
    <t xml:space="preserve">Numero de cargos </t>
  </si>
  <si>
    <t xml:space="preserve">Rango salarial </t>
  </si>
  <si>
    <t>SALARIO PROPUESTO</t>
  </si>
  <si>
    <t>EMPRESA: SOLPAK.S.A</t>
  </si>
  <si>
    <t>GRADO A:</t>
  </si>
  <si>
    <t>TOTAL</t>
  </si>
  <si>
    <t>DIRECTIVO:  Comprende funciones para implementar planes y programas, dirigiendo a los demás cargos para el cumplimiento  de los objetivos.</t>
  </si>
  <si>
    <t>Dirigir y presidir las reuniones de la Alta Dirección;Presentación  de informes a la Asamblea General de Accionistas</t>
  </si>
  <si>
    <t>GRADO B:</t>
  </si>
  <si>
    <t xml:space="preserve">Director de produccion </t>
  </si>
  <si>
    <t xml:space="preserve">Auxiliar compras </t>
  </si>
  <si>
    <t>Auxiliar de fabricacion- Soldador</t>
  </si>
  <si>
    <t>PROFESIONAL: Comprende los empleos a los que correspondes funciones cuya naturaleza demanda la aplicación de los conocimientos propios de cualquier carrera profesional reconocida por la ley.</t>
  </si>
  <si>
    <t xml:space="preserve">TÉCNICO: Aplicación de métodos y procedimientos en funciones de actividades indispensables para el logro de los objetivos. </t>
  </si>
  <si>
    <t>Supervisa la toma de decisiones y el cumplimiento de las mismas</t>
  </si>
  <si>
    <t>Apoyo a la ejecución de los conocimientos.</t>
  </si>
  <si>
    <t xml:space="preserve">Apoya la ejecucion de actividades, metodos y procedimientos </t>
  </si>
  <si>
    <t>Realizar  y verificar el envío y despacho de máquinas y su mantenimiento respectivo, acorde a un plan de calidad para realizar propuestas económicas y corte de precio en los productos.</t>
  </si>
  <si>
    <t>Realizar seguimiento a las ordenes de compra, Mantener contacto directo con los proveedores para inquietudes de Cuentas por Pagar, Notas débito, devoluciones, nuevos productos, servicios entre otros.</t>
  </si>
  <si>
    <t>Estudiar órdenes de trabajo o interpretar dibujos de ejecución, Ingresar en el sistema E-Mánager los tiempos de las piezas fabricadas e Informar al supervisor inconvenientes, daños y desperfectos en los sistemas de los equipos a su cargo.</t>
  </si>
  <si>
    <t>Presentar informes de gestión, resultados de los indicadores y asistir a la reunión de directores</t>
  </si>
  <si>
    <t xml:space="preserve">Empresa MAPER </t>
  </si>
  <si>
    <t>Cargo</t>
  </si>
  <si>
    <t>Salario</t>
  </si>
  <si>
    <t>Empresa SOLPAK S.A</t>
  </si>
  <si>
    <t>Empresa ODEOPACK S.A.S</t>
  </si>
  <si>
    <t xml:space="preserve">Empresa SOLUMEC </t>
  </si>
  <si>
    <t>Empresa AEROMAQUINADOS</t>
  </si>
  <si>
    <t>Empresa NICOL S.A</t>
  </si>
  <si>
    <t>Empresa / Cargo</t>
  </si>
  <si>
    <t>MAPER</t>
  </si>
  <si>
    <t xml:space="preserve">ODEOPACK S.A.S </t>
  </si>
  <si>
    <t>SOLUMEC</t>
  </si>
  <si>
    <t>AEROMAQUINADOS</t>
  </si>
  <si>
    <t>NICOL S.A</t>
  </si>
  <si>
    <t xml:space="preserve">VARIACION ABSOLUTA </t>
  </si>
  <si>
    <t>$</t>
  </si>
  <si>
    <t>%</t>
  </si>
  <si>
    <t xml:space="preserve"># Cargos </t>
  </si>
  <si>
    <t>SALARIOS SOLPAK S.A</t>
  </si>
  <si>
    <t>1. PERFIL DEL CARGO</t>
  </si>
  <si>
    <t>CARGO:</t>
  </si>
  <si>
    <t>OBJETO DEL CARGO:</t>
  </si>
  <si>
    <t>Planear, Controlar, Dirigir y Coordinar todas las actividades y Recursos de la empresa.</t>
  </si>
  <si>
    <t>CARGO JEFE INMEDIATO:</t>
  </si>
  <si>
    <t>Junta Directiva</t>
  </si>
  <si>
    <t>SUBORDINADOS:</t>
  </si>
  <si>
    <t>Directores de Gestión</t>
  </si>
  <si>
    <r>
      <t xml:space="preserve">Estudios Realizados </t>
    </r>
    <r>
      <rPr>
        <b/>
        <sz val="8"/>
        <color theme="1"/>
        <rFont val="Arial"/>
        <family val="2"/>
      </rPr>
      <t>(20%)</t>
    </r>
  </si>
  <si>
    <t>Bachiller</t>
  </si>
  <si>
    <t>Técnico</t>
  </si>
  <si>
    <t>Tecnólogo</t>
  </si>
  <si>
    <t>Profesional</t>
  </si>
  <si>
    <t>Diplomado</t>
  </si>
  <si>
    <t>Especialista</t>
  </si>
  <si>
    <t>Área de estudios:</t>
  </si>
  <si>
    <t>Administración, Gerencia, Financiera, Comercial e Ingeniería con estudios complementarios en Administración.</t>
  </si>
  <si>
    <t xml:space="preserve">Incidencia en evaluación: </t>
  </si>
  <si>
    <t>Menos que profesional</t>
  </si>
  <si>
    <r>
      <t xml:space="preserve">Conocimiento (formación, entrenamientos, cursos, experiencias.) </t>
    </r>
    <r>
      <rPr>
        <b/>
        <sz val="8"/>
        <color theme="1"/>
        <rFont val="Arial"/>
        <family val="2"/>
      </rPr>
      <t>(20%)</t>
    </r>
  </si>
  <si>
    <t>Curso Avanzado en Inglés.</t>
  </si>
  <si>
    <t>Cursos de Liderazgo.</t>
  </si>
  <si>
    <t>Calidad ISO.</t>
  </si>
  <si>
    <t>Técnicas de Negociación.</t>
  </si>
  <si>
    <t>Cursos de Gerencia Estratégica.</t>
  </si>
  <si>
    <t>Comercio Exterior.</t>
  </si>
  <si>
    <t>Reglamentaciones y Leyes de la Sociedad Anónima.</t>
  </si>
  <si>
    <t>Curso de Finanzas e interpretación de análisis financieros.</t>
  </si>
  <si>
    <t>8  ítems</t>
  </si>
  <si>
    <t>7 ítems</t>
  </si>
  <si>
    <t>6 ítems</t>
  </si>
  <si>
    <t>5 ítems</t>
  </si>
  <si>
    <t>4 ítems</t>
  </si>
  <si>
    <t>3 ítems</t>
  </si>
  <si>
    <t>2 ítems</t>
  </si>
  <si>
    <t xml:space="preserve">1 ítems </t>
  </si>
  <si>
    <t>0 ítems</t>
  </si>
  <si>
    <r>
      <t xml:space="preserve">Experiencia </t>
    </r>
    <r>
      <rPr>
        <b/>
        <sz val="8"/>
        <color theme="1"/>
        <rFont val="Arial"/>
        <family val="2"/>
      </rPr>
      <t>(20%)</t>
    </r>
  </si>
  <si>
    <t>Tipo</t>
  </si>
  <si>
    <t>Cargo / Actividad / Proyecto</t>
  </si>
  <si>
    <t>Tiempo</t>
  </si>
  <si>
    <t>Específica</t>
  </si>
  <si>
    <t>Gerente otras empresa</t>
  </si>
  <si>
    <t>3 Años</t>
  </si>
  <si>
    <t>General</t>
  </si>
  <si>
    <t>Director áreas técnicas</t>
  </si>
  <si>
    <t xml:space="preserve">2 Años </t>
  </si>
  <si>
    <t>Experiencia General y especifica</t>
  </si>
  <si>
    <t>Mayor o igual a 5 años</t>
  </si>
  <si>
    <t>3 a 5 años</t>
  </si>
  <si>
    <t>1 a 3 años</t>
  </si>
  <si>
    <t xml:space="preserve">6 Meses a 1 Año </t>
  </si>
  <si>
    <t>6 Meses</t>
  </si>
  <si>
    <r>
      <t xml:space="preserve">Habilidades </t>
    </r>
    <r>
      <rPr>
        <b/>
        <sz val="8"/>
        <color theme="1"/>
        <rFont val="Arial"/>
        <family val="2"/>
      </rPr>
      <t>(20%)</t>
    </r>
  </si>
  <si>
    <r>
      <t xml:space="preserve">Habilidades Corporativas </t>
    </r>
    <r>
      <rPr>
        <b/>
        <sz val="8"/>
        <color theme="1"/>
        <rFont val="Arial"/>
        <family val="2"/>
      </rPr>
      <t>(10%)</t>
    </r>
  </si>
  <si>
    <t xml:space="preserve">Trabajo en Equipo </t>
  </si>
  <si>
    <t xml:space="preserve">Aptitud de Servicio </t>
  </si>
  <si>
    <t>Comunicación</t>
  </si>
  <si>
    <t>Toma de decisiones</t>
  </si>
  <si>
    <t>Incidencia en evaluación:</t>
  </si>
  <si>
    <t>4 ítem</t>
  </si>
  <si>
    <t>3 ítem</t>
  </si>
  <si>
    <t>2 ítem</t>
  </si>
  <si>
    <t>Menor 2 ítem</t>
  </si>
  <si>
    <r>
      <t xml:space="preserve">Habilidades Procesos </t>
    </r>
    <r>
      <rPr>
        <b/>
        <sz val="8"/>
        <color theme="1"/>
        <rFont val="Arial"/>
        <family val="2"/>
      </rPr>
      <t>(10%)</t>
    </r>
  </si>
  <si>
    <t>Análisis de Datos e información</t>
  </si>
  <si>
    <t>Enfoque Sistémico</t>
  </si>
  <si>
    <t>Liderazgo</t>
  </si>
  <si>
    <t>Planeación</t>
  </si>
  <si>
    <r>
      <t xml:space="preserve">2. DESCRIPCIÓN DEL CARGO </t>
    </r>
    <r>
      <rPr>
        <b/>
        <sz val="8"/>
        <color theme="1"/>
        <rFont val="Arial"/>
        <family val="2"/>
      </rPr>
      <t>(20%)</t>
    </r>
  </si>
  <si>
    <r>
      <t xml:space="preserve">Responsabilidades </t>
    </r>
    <r>
      <rPr>
        <b/>
        <sz val="8"/>
        <color theme="1"/>
        <rFont val="Arial"/>
        <family val="2"/>
      </rPr>
      <t>(20%)</t>
    </r>
  </si>
  <si>
    <t>Proceso</t>
  </si>
  <si>
    <t>Actividad</t>
  </si>
  <si>
    <t>Gestión Planeación Estratégica y Control Interno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</si>
  <si>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Calificar y evaluar los indicadores que se generen de los diferentes procesos para la toma de decisiones.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</si>
  <si>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Vigilar el buen estado y uso de los recursos.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</si>
  <si>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 xml:space="preserve">Dirigir y presidir las reuniones de la Alta Dirección. 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</si>
  <si>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Ejecutar acuerdos de la Asamblea General de Accionistas y de la Junta Directiva.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</si>
  <si>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Cuidar que la recaudación e inversión de los fondos de la compañía se hagan debidamente.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</si>
  <si>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Presentación  de informes a la Asamblea General de Accionistas  en sus sesiones ordinarias informe detallado sobre la marcha de la compañía y sobre las innovaciones que convenga introducir para el mejor servicio de sus intereses, y cuando sean sesiones extraordinarias lo concerniente al tema a tratar.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</si>
  <si>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Fijar Política de la Compañía en todos los órdenes de su actividad.</t>
    </r>
  </si>
  <si>
    <t>Gestión Recursos Humanos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</si>
  <si>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Celebrar los Contratos del fin social de la Empresa.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</si>
  <si>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Crear los cargos que juzgue necesario para el buen estado de la compañía.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</si>
  <si>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evaluaciones de personal a cargo directo.</t>
    </r>
  </si>
  <si>
    <t>Gestión Administrativa y Financiera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</si>
  <si>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Planear y Controlar el presupuesto.</t>
    </r>
  </si>
  <si>
    <t>Gestión Calidad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</si>
  <si>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Revisar periódicamente el Sistema de Gestión de la Calidad para verificar su cumplimiento en cada una de las gestiones de la empresa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</si>
  <si>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Incentivar al mejoramiento continuo de los procesos</t>
    </r>
  </si>
  <si>
    <t>DIRECTOR DE PRODUCCIÓN</t>
  </si>
  <si>
    <t>Velar por el cumplimiento de los planes de Calidad y la ejecución coordinada del ensamble de la maquinas, ejecución de proyecto y obras.</t>
  </si>
  <si>
    <t xml:space="preserve">Supervisor de Fabricación, Supervisor de Ensamble, Asistentes de Planeación </t>
  </si>
  <si>
    <t>x</t>
  </si>
  <si>
    <t>Ingeniería de Producción, Mecánica, Eléctrica, Industrial o de instrumentación y control con algún diplomado con énfasis en producción.</t>
  </si>
  <si>
    <t xml:space="preserve">Diplomado </t>
  </si>
  <si>
    <t>Menos que Diplomado</t>
  </si>
  <si>
    <t>Inglés Técnico</t>
  </si>
  <si>
    <t>Análisis e Interpretación Estadística</t>
  </si>
  <si>
    <t>Gerencia de proyectos</t>
  </si>
  <si>
    <t xml:space="preserve">Diseño Mecánico, Eléctrico y/o Neumática </t>
  </si>
  <si>
    <t xml:space="preserve">Métodos y Tiempos </t>
  </si>
  <si>
    <t>Metrología (calibración, Medición, Controles)</t>
  </si>
  <si>
    <t>Presentación de Informes (manejo de Ofimática)</t>
  </si>
  <si>
    <t>Certificado SGC</t>
  </si>
  <si>
    <t>En cargos similares</t>
  </si>
  <si>
    <t>5 Años</t>
  </si>
  <si>
    <t>Cargos diferentes</t>
  </si>
  <si>
    <t xml:space="preserve">3 Años </t>
  </si>
  <si>
    <t xml:space="preserve"> 3 a 5 años</t>
  </si>
  <si>
    <t>2 a 3 años</t>
  </si>
  <si>
    <t>0 a 2 años</t>
  </si>
  <si>
    <t xml:space="preserve">Planeación </t>
  </si>
  <si>
    <t>Innovación</t>
  </si>
  <si>
    <t>Enfoque sistémico</t>
  </si>
  <si>
    <t>Gestión de Producción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</si>
  <si>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Informar a la Alta Gerencia los avances de las OP y OR.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</si>
  <si>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Velar por la optimización de los recursos humanos y materiales.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</si>
  <si>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Aplicar el ciclo PHVA en el proceso de producción.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</si>
  <si>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Trazar lineamentos de Calidad para los procesos de las máquinas.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</si>
  <si>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Participar activamente en las pruebas iniciales de los equipos.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</si>
  <si>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Comunicar la planeacion adecuada a todo el equipo que lo conforma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</si>
  <si>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Definir el plan de calidad de las máquinas y reformas, en lo que tiene que ver con partes mecanizadas.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</si>
  <si>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Determinar el cierre de cada OP y validar costo</t>
    </r>
  </si>
  <si>
    <t>Gestión de Ingeniería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</si>
  <si>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Gerenciar proyectos nuevos de Investigación y desarrollo.</t>
    </r>
  </si>
  <si>
    <t>Recursos Humanos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</si>
  <si>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evaluación de personal a cargo.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</si>
  <si>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Velar por el buen clima organizacional dentro de su proceso</t>
    </r>
  </si>
  <si>
    <t xml:space="preserve">Gestión Mercadeo y Ventas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</si>
  <si>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Definir requerimientos técnicos en las cotizaciones.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</si>
  <si>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Asesorar a los clientes en la toma de decisión de compras.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</si>
  <si>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Asistir a las ferias y mantenerse actualización en el mercado de empaques y nuevas tecnologías.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</si>
  <si>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Ayudar al departamento de Mercadeo y Ventas  a presentar las cotizaciones y definir tiempos de entrega de las cotizaciones y obras.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</si>
  <si>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 xml:space="preserve">Visitar los clientes en sus plantas </t>
    </r>
  </si>
  <si>
    <t>Gestión de la Calidad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</si>
  <si>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 xml:space="preserve">Generar acciones de mejora para el proceso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</si>
  <si>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 xml:space="preserve">Revisión por la alta dirección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</si>
  <si>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Velar por el buen uso de los registros del proceso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</si>
  <si>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Calificar y evaluar los indicadores del proceso para la toma de decisiones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</si>
  <si>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PHVA en el proceso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</si>
  <si>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Apoyar en los programas de salud ocupacional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</si>
  <si>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Presentar informes de gestión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</si>
  <si>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Presentar resultados de los indicadores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</si>
  <si>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Asistir a la reunión de directores</t>
    </r>
  </si>
  <si>
    <t>ASISTENTE DE MERCADEO Y VENTAS</t>
  </si>
  <si>
    <t xml:space="preserve">Servir de apoyo en la realización de las diferentes actividades de la Gestión Mercadeo y Ventas  de la compañía </t>
  </si>
  <si>
    <t>Jefe de Mercadeo y Ventas</t>
  </si>
  <si>
    <t>-----------</t>
  </si>
  <si>
    <t>Administración, Financiera, Comercial, Negocios internacionales</t>
  </si>
  <si>
    <t>Menos que Técnico</t>
  </si>
  <si>
    <t>Inglés Intermedio.</t>
  </si>
  <si>
    <t>Análisis e interpretación  de Informes comerciales.</t>
  </si>
  <si>
    <t>Manejo de herramientas de MS Office (Word, Excel, Power Point), Internet.</t>
  </si>
  <si>
    <t>Conocimientos de SGC</t>
  </si>
  <si>
    <t xml:space="preserve"> 2 Año</t>
  </si>
  <si>
    <t xml:space="preserve"> 1 Año </t>
  </si>
  <si>
    <t>Experiencia Especifica</t>
  </si>
  <si>
    <t>Mayor o igual a 2 años</t>
  </si>
  <si>
    <t>1 y 2 años</t>
  </si>
  <si>
    <t>Menos de 1 año</t>
  </si>
  <si>
    <t>Organización</t>
  </si>
  <si>
    <t>Disciplina</t>
  </si>
  <si>
    <t>Atención al Detalle</t>
  </si>
  <si>
    <t xml:space="preserve">Análisis de datos e Información </t>
  </si>
  <si>
    <t>Gestión Mercadeo y Ventas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</si>
  <si>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Mantener Contacto con Clientes Nuevos y Antiguos.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</si>
  <si>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seguimiento a las cuentas por cobrar nacional y del exterior.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</si>
  <si>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Hacer facturas pro-formas al exterior y cuentas de cobro.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</si>
  <si>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Seguimiento a las cotizaciones enviadas a los clientes.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</si>
  <si>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Revisar el acta de entrega recepción de la máquina conjuntamente con el proceso de atención al cliente.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</si>
  <si>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 y verificar el envío y despacho de máquinas con su respectivo seguimiento.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</si>
  <si>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Enviar información del portafolio de productos y/o servicios a los clientes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</si>
  <si>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el listado de prospectos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</si>
  <si>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propuestas económicas y corte de precio (CP)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</si>
  <si>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Elaborar la hoja CSF (Cover Sheet Form)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</si>
  <si>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Solicitar al cliente información o materiales para pruebas en plantas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</si>
  <si>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el contrato, legalizarlo y protocolizarlo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</si>
  <si>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Solicitar elaboración de pólizas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</si>
  <si>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Elaborar plan de calidad línea o proyecto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</si>
  <si>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Elaborar factura y remisión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</si>
  <si>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Coordinar la documentación necesaria para el despacho de maquinas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</si>
  <si>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Hacer seguimiento al mantenimiento preventivo o Correctivo contratado por el cliente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</si>
  <si>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Actualización de Indicadores</t>
    </r>
  </si>
  <si>
    <t>Gestión Producción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</si>
  <si>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Hacer seguimiento a las OP</t>
    </r>
  </si>
  <si>
    <t>Gestión Contable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</si>
  <si>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Crear las OP en el sistema contable</t>
    </r>
  </si>
  <si>
    <t>Gestión Compras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</si>
  <si>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Verificar el despacho de repuestos al exterior correspondiente a lo facturado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</si>
  <si>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Enviar documentación al cliente de los envíos de repuestos al exterior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</si>
  <si>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seguimiento al envío</t>
    </r>
  </si>
  <si>
    <t>Gestión de Calidad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</si>
  <si>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Generar acciones de mejora para el proceso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</si>
  <si>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Identificar las no conformidades del proceso</t>
    </r>
  </si>
  <si>
    <t xml:space="preserve">AUXILIAR DE COMPRAS </t>
  </si>
  <si>
    <t>Proveer suministros y servicios para el óptimo funcionamiento de la Organización.</t>
  </si>
  <si>
    <t>Director Administrativo y Financiero</t>
  </si>
  <si>
    <t>Almacén, Logística e Inventarios, Costos, Financiera</t>
  </si>
  <si>
    <t xml:space="preserve">Tecnólogo </t>
  </si>
  <si>
    <t xml:space="preserve">Menos que Técnico </t>
  </si>
  <si>
    <t>Manejo Herramientas de Software de Oficina (herramientas de Office e Internet)</t>
  </si>
  <si>
    <t>Manejo de Catálogos comerciales</t>
  </si>
  <si>
    <t>Cocimiento de materias primas, materiales, herramientas y equipos.</t>
  </si>
  <si>
    <t>Manejo comercial de proveedores.</t>
  </si>
  <si>
    <t>Evaluación y Reevaluación de proveedores</t>
  </si>
  <si>
    <t>5  ítems</t>
  </si>
  <si>
    <t>Menos de 2 ítems</t>
  </si>
  <si>
    <t xml:space="preserve"> 1 Años</t>
  </si>
  <si>
    <t xml:space="preserve"> 1 Años </t>
  </si>
  <si>
    <t>6 meses  a 1 año</t>
  </si>
  <si>
    <t>Menos 6 Meses</t>
  </si>
  <si>
    <t>Aptitud numérica</t>
  </si>
  <si>
    <t>Análisis de Datos e Información</t>
  </si>
  <si>
    <t>Actitud al cambio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</si>
  <si>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Elaborar Órdenes de Compra según requisición, previo cumplimiento de los requisitos.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</si>
  <si>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Pasar las órdenes de compra por fax y su verificación de recibo.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</si>
  <si>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Cotizar los productos requeridos por los clientes internos.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</si>
  <si>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Seleccionar el mejor proveedor según criterio de selección.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</si>
  <si>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seguimiento a las ordenes de compra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</si>
  <si>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Mantener contacto directo con los proveedores para inquietudes de Cuentas por Pagar, Notas débito, devoluciones, nuevos productos, servicios entre otros.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</si>
  <si>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Acordar con el proveedor lugar y forma de entrega de los materiales.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</si>
  <si>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Validar las Ordenes de Compra versus los materiales recibidos, cuando haya inconsistencia y hacer su respectivo trámite.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</si>
  <si>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el ciclo PHVA en su proceso.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</si>
  <si>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Actualizar listado maestro de proveedores.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</si>
  <si>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Solicitud de cupos con proveedores nuevos (con el respectivo diligenciamiento de la matricula del proveedor).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</si>
  <si>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la evaluación y Reevaluación de los proveedores.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</si>
  <si>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Informar a los proveedores el resultado de la evaluación.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</si>
  <si>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Informar a Administración bloqueos comerciales de los proveedores por pagos atrasados.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</si>
  <si>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Manejo de la caja menor de compras.</t>
    </r>
  </si>
  <si>
    <t>Gestión Recurso Humano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</si>
  <si>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Velar por el buen desempeño de todo su equipo de trabajo y el clima organizacional.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</si>
  <si>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Motivar al grupo al cumplimiento de las metas.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</si>
  <si>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Apoyar los programas de salud ocupacional dentro de la organización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</si>
  <si>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indicadores y exponerlos en las reuniones que se requieran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</si>
  <si>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Generar Acciones de mejora para los procesos.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</si>
  <si>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Atender y levantar No Conformidades cuando se requiera.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</si>
  <si>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Participar en reunión de Directores, cuando se requiera.</t>
    </r>
  </si>
  <si>
    <t xml:space="preserve">SOLDADOR </t>
  </si>
  <si>
    <t>Operar el equipo de soldadura para soldar piezas de metal utilizando métodos como soldadura TIG, MIG y STICK</t>
  </si>
  <si>
    <t>Supervisor de Fabricación</t>
  </si>
  <si>
    <t>------------</t>
  </si>
  <si>
    <t>Primaria</t>
  </si>
  <si>
    <t xml:space="preserve"> Técnico en Soldadura</t>
  </si>
  <si>
    <t xml:space="preserve">Técnico </t>
  </si>
  <si>
    <t>Menos que Bachiller</t>
  </si>
  <si>
    <t>Conocimiento y habilidades en soldadura por electrodo revestido</t>
  </si>
  <si>
    <t>Metrología (Calibración, Mediciones, Controles)</t>
  </si>
  <si>
    <t>Conocimiento y habilidades en soldadura TIG en inoxidable</t>
  </si>
  <si>
    <t>Conocimientos y habilidades en de soldadura MIG</t>
  </si>
  <si>
    <t>Conocimientos de materiales y sus procesos de soldadura</t>
  </si>
  <si>
    <t>Lectura de planos</t>
  </si>
  <si>
    <t>6  ítems</t>
  </si>
  <si>
    <t xml:space="preserve">General </t>
  </si>
  <si>
    <t>Cargos similares</t>
  </si>
  <si>
    <t xml:space="preserve">Toma de decisiones </t>
  </si>
  <si>
    <t>Destreza Manual</t>
  </si>
  <si>
    <t xml:space="preserve">Adaptabilidad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</si>
  <si>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Realizar la soldadura de las piezas entregadas por el Supervisor de Fabricación según indicaciones.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</si>
  <si>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Estudiar órdenes de trabajo o interpretar dibujos de ejecución para determinar las operaciones de soldadura a realizar.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</si>
  <si>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Limpiar, lubricar y realizar el mantenimiento de la máquina.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</si>
  <si>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Verificar dimensiones de las partes soldadas utilizando instrumentos de medición.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</si>
  <si>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Velar por el buen uso, optimización de los recursos y estado de los elementos a cargo.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</si>
  <si>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Informar al Supervisor de Fabricación inconvenientes presentados en su labor.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</si>
  <si>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Ingresar en el sistema E-Mánager los tiempos de las piezas fabricadas.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</si>
  <si>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Informar al supervisor inconvenientes, daños y desperfectos en los sistemas de los equipos a su cargo.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</si>
  <si>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Arial"/>
        <family val="2"/>
      </rPr>
      <t>Usar los implementos de trabajo requeridos para cada actividad (dotación, elementos de protección personal, etc.)</t>
    </r>
  </si>
  <si>
    <t>ANALIZA INFORMACION</t>
  </si>
  <si>
    <t>ALTA CONCENTRACION, ANALIZA INFOMACION ,LOGICA MATEMATICA</t>
  </si>
  <si>
    <t>ESPECIALISTA</t>
  </si>
  <si>
    <t>INFORMACION Y/O PERSONAL</t>
  </si>
  <si>
    <t xml:space="preserve"> DINERO </t>
  </si>
  <si>
    <t>POLVO Y HUMEDAD</t>
  </si>
  <si>
    <t>Director produccion</t>
  </si>
  <si>
    <t>Auxiliar fabricacion-soldador</t>
  </si>
  <si>
    <t>Axuliar compras</t>
  </si>
  <si>
    <t xml:space="preserve">CARGO CLAVE </t>
  </si>
  <si>
    <t>Total</t>
  </si>
  <si>
    <t xml:space="preserve">ESCALA DE COMPARACION </t>
  </si>
  <si>
    <t>REQUISITOS MENTALES</t>
  </si>
  <si>
    <t>REQUISITOS FISICOS</t>
  </si>
  <si>
    <t>CONDICIONES TRABAJO</t>
  </si>
  <si>
    <t>Asistente mercadeo-ventas</t>
  </si>
  <si>
    <t>Director de produccion</t>
  </si>
  <si>
    <t>OPERATIVO: Aplicación de conocimientos utiles para el cumplimiento de objetivos.</t>
  </si>
  <si>
    <t xml:space="preserve">DIVISOR </t>
  </si>
  <si>
    <t>Puntos</t>
  </si>
  <si>
    <t>Salario (Dia)</t>
  </si>
  <si>
    <t>X (Puntos)</t>
  </si>
  <si>
    <t>Y (Salario)</t>
  </si>
  <si>
    <t>Cargos</t>
  </si>
  <si>
    <t>X°</t>
  </si>
  <si>
    <t>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</si>
</sst>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&quot;$&quot;\ #,##0"/>
    <numFmt numFmtId="165" formatCode="&quot;$&quot;\ #,##0.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/>
    <xf numFmtId="0" fontId="1" fillId="3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9" fontId="2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164" fontId="2" fillId="0" borderId="1" xfId="2" applyNumberFormat="1" applyFont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Border="1"/>
    <xf numFmtId="164" fontId="1" fillId="0" borderId="1" xfId="0" applyNumberFormat="1" applyFont="1" applyFill="1" applyBorder="1"/>
    <xf numFmtId="164" fontId="2" fillId="0" borderId="1" xfId="2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/>
    <xf numFmtId="0" fontId="8" fillId="7" borderId="8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7" borderId="10" xfId="0" applyFont="1" applyFill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11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9" fontId="9" fillId="0" borderId="1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3" fillId="0" borderId="17" xfId="0" applyFont="1" applyBorder="1" applyAlignment="1">
      <alignment horizontal="left" vertical="center" wrapText="1" indent="2"/>
    </xf>
    <xf numFmtId="0" fontId="13" fillId="0" borderId="11" xfId="0" applyFont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0" borderId="0" xfId="0" applyNumberFormat="1" applyFont="1"/>
    <xf numFmtId="0" fontId="2" fillId="10" borderId="1" xfId="0" applyFont="1" applyFill="1" applyBorder="1"/>
    <xf numFmtId="0" fontId="2" fillId="10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4" borderId="0" xfId="0" applyFont="1" applyFill="1"/>
    <xf numFmtId="49" fontId="2" fillId="5" borderId="0" xfId="0" applyNumberFormat="1" applyFont="1" applyFill="1" applyBorder="1"/>
    <xf numFmtId="0" fontId="1" fillId="5" borderId="0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1" fillId="8" borderId="1" xfId="0" applyFont="1" applyFill="1" applyBorder="1"/>
    <xf numFmtId="2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8" borderId="8" xfId="0" applyFont="1" applyFill="1" applyBorder="1"/>
    <xf numFmtId="165" fontId="2" fillId="3" borderId="1" xfId="0" applyNumberFormat="1" applyFont="1" applyFill="1" applyBorder="1"/>
    <xf numFmtId="0" fontId="2" fillId="8" borderId="1" xfId="0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2" fontId="2" fillId="3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9" fontId="11" fillId="0" borderId="12" xfId="0" applyNumberFormat="1" applyFont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9" fontId="9" fillId="0" borderId="1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'AJUSTES A LA ESCALA SALARIAL '!$F$2</c:f>
              <c:strCache>
                <c:ptCount val="1"/>
                <c:pt idx="0">
                  <c:v>SALARIO DIARIO AJUSTADOS </c:v>
                </c:pt>
              </c:strCache>
            </c:strRef>
          </c:tx>
          <c:marker>
            <c:symbol val="none"/>
          </c:marker>
          <c:cat>
            <c:numRef>
              <c:f>'AJUSTES A LA ESCALA SALARIAL '!$B$3:$B$7</c:f>
              <c:numCache>
                <c:formatCode>General</c:formatCode>
                <c:ptCount val="5"/>
                <c:pt idx="0">
                  <c:v>231.7</c:v>
                </c:pt>
                <c:pt idx="1">
                  <c:v>262.14999999999998</c:v>
                </c:pt>
                <c:pt idx="2">
                  <c:v>293.64999999999998</c:v>
                </c:pt>
                <c:pt idx="3">
                  <c:v>328.3</c:v>
                </c:pt>
                <c:pt idx="4">
                  <c:v>372.4</c:v>
                </c:pt>
              </c:numCache>
            </c:numRef>
          </c:cat>
          <c:val>
            <c:numRef>
              <c:f>'AJUSTES A LA ESCALA SALARIAL '!$F$3:$F$7</c:f>
              <c:numCache>
                <c:formatCode>"$"\ #,##0.00</c:formatCode>
                <c:ptCount val="5"/>
                <c:pt idx="0">
                  <c:v>28.653590739196659</c:v>
                </c:pt>
                <c:pt idx="1">
                  <c:v>70.189352977466172</c:v>
                </c:pt>
                <c:pt idx="2">
                  <c:v>113.15738287912421</c:v>
                </c:pt>
                <c:pt idx="3">
                  <c:v>160.42221577094818</c:v>
                </c:pt>
                <c:pt idx="4">
                  <c:v>220.57745763326943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69952"/>
        <c:axId val="82671488"/>
      </c:lineChart>
      <c:catAx>
        <c:axId val="826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71488"/>
        <c:crosses val="autoZero"/>
        <c:auto val="1"/>
        <c:lblAlgn val="ctr"/>
        <c:lblOffset val="100"/>
        <c:noMultiLvlLbl val="0"/>
      </c:catAx>
      <c:valAx>
        <c:axId val="82671488"/>
        <c:scaling>
          <c:orientation val="minMax"/>
        </c:scaling>
        <c:delete val="0"/>
        <c:axPos val="l"/>
        <c:majorGridlines/>
        <c:numFmt formatCode="&quot;$&quot;\ #,##0.00" sourceLinked="1"/>
        <c:majorTickMark val="out"/>
        <c:minorTickMark val="none"/>
        <c:tickLblPos val="nextTo"/>
        <c:crossAx val="8266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Salarios</a:t>
            </a:r>
            <a:r>
              <a:rPr lang="en-US" baseline="0"/>
              <a:t> vs Mercado laboral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1697357148778987"/>
          <c:w val="0.9670041244844394"/>
          <c:h val="0.68650462294408632"/>
        </c:manualLayout>
      </c:layout>
      <c:lineChart>
        <c:grouping val="standard"/>
        <c:varyColors val="0"/>
        <c:ser>
          <c:idx val="0"/>
          <c:order val="0"/>
          <c:tx>
            <c:strRef>
              <c:f>'ENCUESTA SALARIAL'!$B$26</c:f>
              <c:strCache>
                <c:ptCount val="1"/>
                <c:pt idx="0">
                  <c:v>SALARIOS SOLPAK S.A</c:v>
                </c:pt>
              </c:strCache>
            </c:strRef>
          </c:tx>
          <c:marker>
            <c:symbol val="none"/>
          </c:marker>
          <c:cat>
            <c:strRef>
              <c:f>'ENCUESTA SALARIAL'!$A$27:$A$31</c:f>
              <c:strCache>
                <c:ptCount val="5"/>
                <c:pt idx="0">
                  <c:v>Auxiliar fabricacion-Soldador</c:v>
                </c:pt>
                <c:pt idx="1">
                  <c:v>Auxiliar compras</c:v>
                </c:pt>
                <c:pt idx="2">
                  <c:v>Asistente mercadeo-ventas</c:v>
                </c:pt>
                <c:pt idx="3">
                  <c:v>Director produccion</c:v>
                </c:pt>
                <c:pt idx="4">
                  <c:v>Gerente</c:v>
                </c:pt>
              </c:strCache>
            </c:strRef>
          </c:cat>
          <c:val>
            <c:numRef>
              <c:f>'ENCUESTA SALARIAL'!$B$27:$B$31</c:f>
              <c:numCache>
                <c:formatCode>"$"\ #,##0</c:formatCode>
                <c:ptCount val="5"/>
                <c:pt idx="0">
                  <c:v>700000</c:v>
                </c:pt>
                <c:pt idx="1">
                  <c:v>2135875</c:v>
                </c:pt>
                <c:pt idx="2">
                  <c:v>3571750</c:v>
                </c:pt>
                <c:pt idx="3">
                  <c:v>5007625</c:v>
                </c:pt>
                <c:pt idx="4">
                  <c:v>6443500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'ENCUESTA SALARIAL'!$H$26</c:f>
              <c:strCache>
                <c:ptCount val="1"/>
                <c:pt idx="0">
                  <c:v>PROMEDIO</c:v>
                </c:pt>
              </c:strCache>
            </c:strRef>
          </c:tx>
          <c:marker>
            <c:symbol val="none"/>
          </c:marker>
          <c:cat>
            <c:strRef>
              <c:f>'ENCUESTA SALARIAL'!$A$27:$A$31</c:f>
              <c:strCache>
                <c:ptCount val="5"/>
                <c:pt idx="0">
                  <c:v>Auxiliar fabricacion-Soldador</c:v>
                </c:pt>
                <c:pt idx="1">
                  <c:v>Auxiliar compras</c:v>
                </c:pt>
                <c:pt idx="2">
                  <c:v>Asistente mercadeo-ventas</c:v>
                </c:pt>
                <c:pt idx="3">
                  <c:v>Director produccion</c:v>
                </c:pt>
                <c:pt idx="4">
                  <c:v>Gerente</c:v>
                </c:pt>
              </c:strCache>
            </c:strRef>
          </c:cat>
          <c:val>
            <c:numRef>
              <c:f>'ENCUESTA SALARIAL'!$H$27:$H$31</c:f>
              <c:numCache>
                <c:formatCode>"$"\ #,##0</c:formatCode>
                <c:ptCount val="5"/>
                <c:pt idx="0">
                  <c:v>990000</c:v>
                </c:pt>
                <c:pt idx="1">
                  <c:v>1700000</c:v>
                </c:pt>
                <c:pt idx="2">
                  <c:v>2510000</c:v>
                </c:pt>
                <c:pt idx="3">
                  <c:v>3760000</c:v>
                </c:pt>
                <c:pt idx="4">
                  <c:v>4960000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210624"/>
        <c:axId val="85212160"/>
      </c:lineChart>
      <c:catAx>
        <c:axId val="852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5212160"/>
        <c:crosses val="autoZero"/>
        <c:auto val="1"/>
        <c:lblAlgn val="ctr"/>
        <c:lblOffset val="100"/>
        <c:noMultiLvlLbl val="0"/>
      </c:catAx>
      <c:valAx>
        <c:axId val="85212160"/>
        <c:scaling>
          <c:orientation val="minMax"/>
        </c:scaling>
        <c:delete val="1"/>
        <c:axPos val="l"/>
        <c:numFmt formatCode="&quot;$&quot;\ #,##0" sourceLinked="1"/>
        <c:majorTickMark val="none"/>
        <c:minorTickMark val="none"/>
        <c:tickLblPos val="nextTo"/>
        <c:crossAx val="852106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21</xdr:row>
      <xdr:rowOff>80961</xdr:rowOff>
    </xdr:from>
    <xdr:to>
      <xdr:col>5</xdr:col>
      <xdr:colOff>1323974</xdr:colOff>
      <xdr:row>37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26</xdr:row>
      <xdr:rowOff>28575</xdr:rowOff>
    </xdr:from>
    <xdr:to>
      <xdr:col>9</xdr:col>
      <xdr:colOff>485775</xdr:colOff>
      <xdr:row>36</xdr:row>
      <xdr:rowOff>19050</xdr:rowOff>
    </xdr:to>
    <xdr:sp macro="" textlink="">
      <xdr:nvSpPr>
        <xdr:cNvPr id="3" name="2 CuadroTexto"/>
        <xdr:cNvSpPr txBox="1"/>
      </xdr:nvSpPr>
      <xdr:spPr>
        <a:xfrm>
          <a:off x="8372475" y="5505450"/>
          <a:ext cx="381000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>
              <a:latin typeface="Arial" pitchFamily="34" charset="0"/>
              <a:cs typeface="Arial" pitchFamily="34" charset="0"/>
            </a:rPr>
            <a:t>Gracias</a:t>
          </a:r>
          <a:r>
            <a:rPr lang="es-CO" sz="1200" baseline="0">
              <a:latin typeface="Arial" pitchFamily="34" charset="0"/>
              <a:cs typeface="Arial" pitchFamily="34" charset="0"/>
            </a:rPr>
            <a:t> a esta gráfica se puede identificar que cada uno de los 5 cargos elegidos por parte de los aprendices de la empresa SOLPAK S.A.  que son: Auxiliar de fabricación- soldador, Auxiliar de compras, Asistente de mercadeo y ventas, Director de producción y Gerente,  están equitativamente distribuidos con relación a los puntos asignados por los calificadores en el sistema de Asignación de puntos.</a:t>
          </a:r>
          <a:endParaRPr lang="es-CO" sz="12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6</xdr:col>
      <xdr:colOff>588817</xdr:colOff>
      <xdr:row>22</xdr:row>
      <xdr:rowOff>59823</xdr:rowOff>
    </xdr:from>
    <xdr:ext cx="3832524" cy="564193"/>
    <xdr:sp macro="" textlink="">
      <xdr:nvSpPr>
        <xdr:cNvPr id="4" name="3 Rectángulo"/>
        <xdr:cNvSpPr/>
      </xdr:nvSpPr>
      <xdr:spPr>
        <a:xfrm>
          <a:off x="8389792" y="4774698"/>
          <a:ext cx="3832524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s-ES" sz="32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Arial" pitchFamily="34" charset="0"/>
              <a:cs typeface="Arial" pitchFamily="34" charset="0"/>
            </a:rPr>
            <a:t>interpretación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35</xdr:row>
      <xdr:rowOff>185737</xdr:rowOff>
    </xdr:from>
    <xdr:to>
      <xdr:col>5</xdr:col>
      <xdr:colOff>542925</xdr:colOff>
      <xdr:row>55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778403</xdr:colOff>
      <xdr:row>36</xdr:row>
      <xdr:rowOff>40773</xdr:rowOff>
    </xdr:from>
    <xdr:ext cx="3548599" cy="655885"/>
    <xdr:sp macro="" textlink="">
      <xdr:nvSpPr>
        <xdr:cNvPr id="3" name="2 Rectángulo"/>
        <xdr:cNvSpPr/>
      </xdr:nvSpPr>
      <xdr:spPr>
        <a:xfrm>
          <a:off x="8817503" y="7536948"/>
          <a:ext cx="3548599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es-ES" sz="36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interpretación</a:t>
          </a:r>
        </a:p>
      </xdr:txBody>
    </xdr:sp>
    <xdr:clientData/>
  </xdr:oneCellAnchor>
  <xdr:twoCellAnchor>
    <xdr:from>
      <xdr:col>5</xdr:col>
      <xdr:colOff>828675</xdr:colOff>
      <xdr:row>39</xdr:row>
      <xdr:rowOff>180974</xdr:rowOff>
    </xdr:from>
    <xdr:to>
      <xdr:col>7</xdr:col>
      <xdr:colOff>876300</xdr:colOff>
      <xdr:row>54</xdr:row>
      <xdr:rowOff>152399</xdr:rowOff>
    </xdr:to>
    <xdr:sp macro="" textlink="">
      <xdr:nvSpPr>
        <xdr:cNvPr id="4" name="3 CuadroTexto"/>
        <xdr:cNvSpPr txBox="1"/>
      </xdr:nvSpPr>
      <xdr:spPr>
        <a:xfrm>
          <a:off x="8867775" y="8248649"/>
          <a:ext cx="3486150" cy="282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O" sz="1200">
              <a:latin typeface="Arial" panose="020B0604020202020204" pitchFamily="34" charset="0"/>
              <a:cs typeface="Arial" panose="020B0604020202020204" pitchFamily="34" charset="0"/>
            </a:rPr>
            <a:t>Gracias</a:t>
          </a:r>
          <a:r>
            <a:rPr lang="es-CO" sz="1200" baseline="0">
              <a:latin typeface="Arial" panose="020B0604020202020204" pitchFamily="34" charset="0"/>
              <a:cs typeface="Arial" panose="020B0604020202020204" pitchFamily="34" charset="0"/>
            </a:rPr>
            <a:t> a esta gráfica se puede identifiar que el único cargo que está por debajo del promedio del salario pagado por las otras 5 empresas encuestadas para el mismo cargo es el de auxiliar de fabricación- soldador,  ya que el promedio pagado por las demás empresas es de $990.000 y en SOLPAK S.A. le pagan al soldador $700.000.                                                                       </a:t>
          </a:r>
          <a:r>
            <a:rPr lang="es-CO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 relación a los salarios de los demás cargos de SOLPAK S.A. con respecto al promedio salarial de las demás empresas , se puede identificar y concluir que los demás salarios de SOLPAK S.A. están por  encima del promedio de la encuesta salarial. </a:t>
          </a:r>
          <a:endParaRPr lang="es-CO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G8"/>
  <sheetViews>
    <sheetView tabSelected="1" workbookViewId="0">
      <selection activeCell="D27" sqref="D27"/>
    </sheetView>
  </sheetViews>
  <sheetFormatPr baseColWidth="10" defaultColWidth="9.140625" defaultRowHeight="15" x14ac:dyDescent="0.2"/>
  <cols>
    <col min="1" max="1" width="22.7109375" style="1" customWidth="1"/>
    <col min="2" max="2" width="13.85546875" style="1" customWidth="1"/>
    <col min="3" max="3" width="12.85546875" style="1" customWidth="1"/>
    <col min="4" max="4" width="12" style="1" customWidth="1"/>
    <col min="5" max="5" width="13" style="1" customWidth="1"/>
    <col min="6" max="6" width="22.85546875" style="1" customWidth="1"/>
    <col min="7" max="7" width="10.7109375" style="1" customWidth="1"/>
    <col min="8" max="16384" width="9.140625" style="1"/>
  </cols>
  <sheetData>
    <row r="2" spans="1:7" ht="15.75" x14ac:dyDescent="0.25">
      <c r="A2" s="123" t="s">
        <v>0</v>
      </c>
      <c r="B2" s="124"/>
      <c r="C2" s="124"/>
      <c r="D2" s="124"/>
      <c r="E2" s="124"/>
      <c r="F2" s="124"/>
      <c r="G2" s="125"/>
    </row>
    <row r="3" spans="1:7" ht="63" x14ac:dyDescent="0.2">
      <c r="A3" s="93" t="s">
        <v>1</v>
      </c>
      <c r="B3" s="94" t="s">
        <v>102</v>
      </c>
      <c r="C3" s="94" t="s">
        <v>103</v>
      </c>
      <c r="D3" s="94" t="s">
        <v>104</v>
      </c>
      <c r="E3" s="93" t="s">
        <v>2</v>
      </c>
      <c r="F3" s="93" t="s">
        <v>120</v>
      </c>
      <c r="G3" s="93" t="s">
        <v>3</v>
      </c>
    </row>
    <row r="4" spans="1:7" x14ac:dyDescent="0.2">
      <c r="A4" s="95" t="s">
        <v>101</v>
      </c>
      <c r="B4" s="8">
        <v>1</v>
      </c>
      <c r="C4" s="8">
        <v>1</v>
      </c>
      <c r="D4" s="8">
        <v>1</v>
      </c>
      <c r="E4" s="8">
        <f>AVERAGE(B4:D4)</f>
        <v>1</v>
      </c>
      <c r="F4" s="8">
        <f>SMALL($E$4:$E$8,G4)</f>
        <v>1</v>
      </c>
      <c r="G4" s="8">
        <v>1</v>
      </c>
    </row>
    <row r="5" spans="1:7" x14ac:dyDescent="0.2">
      <c r="A5" s="95" t="s">
        <v>97</v>
      </c>
      <c r="B5" s="8">
        <v>2</v>
      </c>
      <c r="C5" s="8">
        <v>2</v>
      </c>
      <c r="D5" s="8">
        <v>2</v>
      </c>
      <c r="E5" s="8">
        <f t="shared" ref="E5:E8" si="0">AVERAGE(B5:D5)</f>
        <v>2</v>
      </c>
      <c r="F5" s="8">
        <f t="shared" ref="F5:F8" si="1">SMALL($E$4:$E$8,G5)</f>
        <v>2</v>
      </c>
      <c r="G5" s="8">
        <v>2</v>
      </c>
    </row>
    <row r="6" spans="1:7" ht="30" x14ac:dyDescent="0.2">
      <c r="A6" s="96" t="s">
        <v>98</v>
      </c>
      <c r="B6" s="8">
        <v>3</v>
      </c>
      <c r="C6" s="8">
        <v>3</v>
      </c>
      <c r="D6" s="8">
        <v>5</v>
      </c>
      <c r="E6" s="9">
        <f t="shared" si="0"/>
        <v>3.6666666666666665</v>
      </c>
      <c r="F6" s="9">
        <f t="shared" si="1"/>
        <v>3.6666666666666665</v>
      </c>
      <c r="G6" s="8">
        <v>3</v>
      </c>
    </row>
    <row r="7" spans="1:7" x14ac:dyDescent="0.2">
      <c r="A7" s="95" t="s">
        <v>99</v>
      </c>
      <c r="B7" s="8">
        <v>4</v>
      </c>
      <c r="C7" s="8">
        <v>5</v>
      </c>
      <c r="D7" s="8">
        <v>3</v>
      </c>
      <c r="E7" s="9">
        <f t="shared" si="0"/>
        <v>4</v>
      </c>
      <c r="F7" s="9">
        <f t="shared" si="1"/>
        <v>4</v>
      </c>
      <c r="G7" s="8">
        <v>4</v>
      </c>
    </row>
    <row r="8" spans="1:7" ht="30" x14ac:dyDescent="0.2">
      <c r="A8" s="96" t="s">
        <v>100</v>
      </c>
      <c r="B8" s="8">
        <v>5</v>
      </c>
      <c r="C8" s="8">
        <v>4</v>
      </c>
      <c r="D8" s="8">
        <v>4</v>
      </c>
      <c r="E8" s="9">
        <f t="shared" si="0"/>
        <v>4.333333333333333</v>
      </c>
      <c r="F8" s="9">
        <f t="shared" si="1"/>
        <v>4.333333333333333</v>
      </c>
      <c r="G8" s="8">
        <v>5</v>
      </c>
    </row>
  </sheetData>
  <mergeCells count="1">
    <mergeCell ref="A2:G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5"/>
  <sheetViews>
    <sheetView topLeftCell="A33" zoomScaleNormal="100" workbookViewId="0">
      <selection activeCell="A54" sqref="A54"/>
    </sheetView>
  </sheetViews>
  <sheetFormatPr baseColWidth="10" defaultRowHeight="15" x14ac:dyDescent="0.2"/>
  <cols>
    <col min="1" max="2" width="32.7109375" style="1" customWidth="1"/>
    <col min="3" max="3" width="18.28515625" style="1" customWidth="1"/>
    <col min="4" max="4" width="17.140625" style="1" customWidth="1"/>
    <col min="5" max="5" width="19.7109375" style="1" customWidth="1"/>
    <col min="6" max="6" width="34.28515625" style="1" customWidth="1"/>
    <col min="7" max="7" width="17.28515625" style="1" customWidth="1"/>
    <col min="8" max="8" width="14.140625" style="1" customWidth="1"/>
    <col min="9" max="9" width="15.7109375" style="1" customWidth="1"/>
    <col min="10" max="10" width="30.7109375" style="1" customWidth="1"/>
    <col min="11" max="11" width="18.5703125" style="1" customWidth="1"/>
    <col min="12" max="16384" width="11.42578125" style="1"/>
  </cols>
  <sheetData>
    <row r="1" spans="1:11" ht="15.75" x14ac:dyDescent="0.25">
      <c r="A1" s="51" t="s">
        <v>146</v>
      </c>
      <c r="F1" s="51" t="s">
        <v>143</v>
      </c>
      <c r="J1" s="51" t="s">
        <v>147</v>
      </c>
    </row>
    <row r="3" spans="1:11" x14ac:dyDescent="0.2">
      <c r="A3" s="42" t="s">
        <v>144</v>
      </c>
      <c r="B3" s="42" t="s">
        <v>145</v>
      </c>
      <c r="F3" s="42" t="s">
        <v>144</v>
      </c>
      <c r="G3" s="42" t="s">
        <v>145</v>
      </c>
      <c r="J3" s="42" t="s">
        <v>144</v>
      </c>
      <c r="K3" s="42" t="s">
        <v>145</v>
      </c>
    </row>
    <row r="4" spans="1:11" x14ac:dyDescent="0.2">
      <c r="A4" s="6" t="s">
        <v>105</v>
      </c>
      <c r="B4" s="43">
        <f>'COMPARACION DE FACTORES '!B12</f>
        <v>6443500</v>
      </c>
      <c r="F4" s="6" t="s">
        <v>105</v>
      </c>
      <c r="G4" s="43">
        <v>3600000</v>
      </c>
      <c r="J4" s="6" t="s">
        <v>105</v>
      </c>
      <c r="K4" s="43">
        <v>4900000</v>
      </c>
    </row>
    <row r="5" spans="1:11" x14ac:dyDescent="0.2">
      <c r="A5" s="6" t="s">
        <v>112</v>
      </c>
      <c r="B5" s="43">
        <f>'COMPARACION DE FACTORES '!B13</f>
        <v>5007625</v>
      </c>
      <c r="F5" s="6" t="s">
        <v>112</v>
      </c>
      <c r="G5" s="43">
        <v>2800000</v>
      </c>
      <c r="J5" s="6" t="s">
        <v>112</v>
      </c>
      <c r="K5" s="43">
        <v>3500000</v>
      </c>
    </row>
    <row r="6" spans="1:11" x14ac:dyDescent="0.2">
      <c r="A6" s="6" t="s">
        <v>113</v>
      </c>
      <c r="B6" s="43">
        <f>'COMPARACION DE FACTORES '!B14</f>
        <v>3571750</v>
      </c>
      <c r="F6" s="6" t="s">
        <v>113</v>
      </c>
      <c r="G6" s="43">
        <v>1950000</v>
      </c>
      <c r="J6" s="6" t="s">
        <v>113</v>
      </c>
      <c r="K6" s="43">
        <v>2300000</v>
      </c>
    </row>
    <row r="7" spans="1:11" x14ac:dyDescent="0.2">
      <c r="A7" s="6" t="s">
        <v>99</v>
      </c>
      <c r="B7" s="43">
        <f>'COMPARACION DE FACTORES '!B15</f>
        <v>2135875</v>
      </c>
      <c r="F7" s="6" t="s">
        <v>99</v>
      </c>
      <c r="G7" s="43">
        <v>1500000</v>
      </c>
      <c r="J7" s="6" t="s">
        <v>99</v>
      </c>
      <c r="K7" s="43">
        <v>1600000</v>
      </c>
    </row>
    <row r="8" spans="1:11" x14ac:dyDescent="0.2">
      <c r="A8" s="6" t="s">
        <v>114</v>
      </c>
      <c r="B8" s="43">
        <f>'COMPARACION DE FACTORES '!B16</f>
        <v>700000</v>
      </c>
      <c r="F8" s="6" t="s">
        <v>114</v>
      </c>
      <c r="G8" s="43">
        <v>800000</v>
      </c>
      <c r="J8" s="6" t="s">
        <v>114</v>
      </c>
      <c r="K8" s="43">
        <v>950000</v>
      </c>
    </row>
    <row r="13" spans="1:11" ht="15.75" x14ac:dyDescent="0.25">
      <c r="A13" s="51" t="s">
        <v>148</v>
      </c>
      <c r="F13" s="51" t="s">
        <v>149</v>
      </c>
      <c r="J13" s="51" t="s">
        <v>150</v>
      </c>
    </row>
    <row r="15" spans="1:11" x14ac:dyDescent="0.2">
      <c r="A15" s="42" t="s">
        <v>144</v>
      </c>
      <c r="B15" s="42" t="s">
        <v>145</v>
      </c>
      <c r="F15" s="42" t="s">
        <v>144</v>
      </c>
      <c r="G15" s="42" t="s">
        <v>145</v>
      </c>
      <c r="J15" s="42" t="s">
        <v>144</v>
      </c>
      <c r="K15" s="42" t="s">
        <v>145</v>
      </c>
    </row>
    <row r="16" spans="1:11" x14ac:dyDescent="0.2">
      <c r="A16" s="6" t="s">
        <v>105</v>
      </c>
      <c r="B16" s="43">
        <v>5500000</v>
      </c>
      <c r="F16" s="6" t="s">
        <v>105</v>
      </c>
      <c r="G16" s="43">
        <v>4800000</v>
      </c>
      <c r="J16" s="6" t="s">
        <v>105</v>
      </c>
      <c r="K16" s="43">
        <v>6000000</v>
      </c>
    </row>
    <row r="17" spans="1:11" x14ac:dyDescent="0.2">
      <c r="A17" s="6" t="s">
        <v>112</v>
      </c>
      <c r="B17" s="43">
        <v>4600000</v>
      </c>
      <c r="F17" s="6" t="s">
        <v>112</v>
      </c>
      <c r="G17" s="43">
        <v>3200000</v>
      </c>
      <c r="J17" s="6" t="s">
        <v>112</v>
      </c>
      <c r="K17" s="43">
        <v>4700000</v>
      </c>
    </row>
    <row r="18" spans="1:11" x14ac:dyDescent="0.2">
      <c r="A18" s="6" t="s">
        <v>113</v>
      </c>
      <c r="B18" s="43">
        <v>3200000</v>
      </c>
      <c r="F18" s="6" t="s">
        <v>113</v>
      </c>
      <c r="G18" s="43">
        <v>1900000</v>
      </c>
      <c r="J18" s="6" t="s">
        <v>113</v>
      </c>
      <c r="K18" s="43">
        <v>3200000</v>
      </c>
    </row>
    <row r="19" spans="1:11" x14ac:dyDescent="0.2">
      <c r="A19" s="6" t="s">
        <v>99</v>
      </c>
      <c r="B19" s="43">
        <v>2100000</v>
      </c>
      <c r="F19" s="6" t="s">
        <v>99</v>
      </c>
      <c r="G19" s="43">
        <v>1300000</v>
      </c>
      <c r="J19" s="6" t="s">
        <v>99</v>
      </c>
      <c r="K19" s="43">
        <v>2000000</v>
      </c>
    </row>
    <row r="20" spans="1:11" x14ac:dyDescent="0.2">
      <c r="A20" s="6" t="s">
        <v>114</v>
      </c>
      <c r="B20" s="43">
        <v>1100000</v>
      </c>
      <c r="F20" s="6" t="s">
        <v>114</v>
      </c>
      <c r="G20" s="43">
        <v>900000</v>
      </c>
      <c r="J20" s="6" t="s">
        <v>114</v>
      </c>
      <c r="K20" s="43">
        <v>1200000</v>
      </c>
    </row>
    <row r="26" spans="1:11" ht="60" customHeight="1" x14ac:dyDescent="0.2">
      <c r="A26" s="44" t="s">
        <v>151</v>
      </c>
      <c r="B26" s="44" t="s">
        <v>161</v>
      </c>
      <c r="C26" s="45" t="s">
        <v>152</v>
      </c>
      <c r="D26" s="45" t="s">
        <v>153</v>
      </c>
      <c r="E26" s="45" t="s">
        <v>154</v>
      </c>
      <c r="F26" s="45" t="s">
        <v>155</v>
      </c>
      <c r="G26" s="45" t="s">
        <v>156</v>
      </c>
      <c r="H26" s="45" t="s">
        <v>2</v>
      </c>
      <c r="I26" s="45" t="s">
        <v>157</v>
      </c>
      <c r="J26" s="44" t="s">
        <v>158</v>
      </c>
      <c r="K26" s="44" t="s">
        <v>159</v>
      </c>
    </row>
    <row r="27" spans="1:11" ht="15.75" x14ac:dyDescent="0.25">
      <c r="A27" s="46" t="s">
        <v>114</v>
      </c>
      <c r="B27" s="48">
        <f>B8</f>
        <v>700000</v>
      </c>
      <c r="C27" s="49">
        <f>G8</f>
        <v>800000</v>
      </c>
      <c r="D27" s="50">
        <f>K8</f>
        <v>950000</v>
      </c>
      <c r="E27" s="50">
        <f>B20</f>
        <v>1100000</v>
      </c>
      <c r="F27" s="50">
        <f>G20</f>
        <v>900000</v>
      </c>
      <c r="G27" s="50">
        <f>K20</f>
        <v>1200000</v>
      </c>
      <c r="H27" s="50">
        <f>SUM(C27:G27)/$B$35</f>
        <v>990000</v>
      </c>
      <c r="I27" s="50">
        <f>(H27+B27)/2</f>
        <v>845000</v>
      </c>
      <c r="J27" s="50">
        <f>(I27-B27)</f>
        <v>145000</v>
      </c>
      <c r="K27" s="113">
        <f>J27/G27</f>
        <v>0.12083333333333333</v>
      </c>
    </row>
    <row r="28" spans="1:11" ht="15.75" x14ac:dyDescent="0.25">
      <c r="A28" s="47" t="s">
        <v>99</v>
      </c>
      <c r="B28" s="48">
        <f>B7</f>
        <v>2135875</v>
      </c>
      <c r="C28" s="49">
        <f>G7</f>
        <v>1500000</v>
      </c>
      <c r="D28" s="50">
        <f>K7</f>
        <v>1600000</v>
      </c>
      <c r="E28" s="50">
        <f>B19</f>
        <v>2100000</v>
      </c>
      <c r="F28" s="50">
        <f>G19</f>
        <v>1300000</v>
      </c>
      <c r="G28" s="50">
        <f>K19</f>
        <v>2000000</v>
      </c>
      <c r="H28" s="50">
        <f>SUM(C28:G28)/$B$35</f>
        <v>1700000</v>
      </c>
      <c r="I28" s="50">
        <f t="shared" ref="I28:I31" si="0">(H28+B28)/2</f>
        <v>1917937.5</v>
      </c>
      <c r="J28" s="50">
        <f>(I28-B28)</f>
        <v>-217937.5</v>
      </c>
      <c r="K28" s="113">
        <f t="shared" ref="K28:K31" si="1">J28/G28</f>
        <v>-0.10896875</v>
      </c>
    </row>
    <row r="29" spans="1:11" ht="15.75" x14ac:dyDescent="0.25">
      <c r="A29" s="47" t="s">
        <v>444</v>
      </c>
      <c r="B29" s="48">
        <f>B6</f>
        <v>3571750</v>
      </c>
      <c r="C29" s="49">
        <f>G6</f>
        <v>1950000</v>
      </c>
      <c r="D29" s="50">
        <f>K6</f>
        <v>2300000</v>
      </c>
      <c r="E29" s="50">
        <f>B18</f>
        <v>3200000</v>
      </c>
      <c r="F29" s="50">
        <f>G18</f>
        <v>1900000</v>
      </c>
      <c r="G29" s="50">
        <f>K18</f>
        <v>3200000</v>
      </c>
      <c r="H29" s="50">
        <f>SUM(C29:G29)/$B$35</f>
        <v>2510000</v>
      </c>
      <c r="I29" s="50">
        <f t="shared" si="0"/>
        <v>3040875</v>
      </c>
      <c r="J29" s="50">
        <f t="shared" ref="J29:J31" si="2">(I29-B29)</f>
        <v>-530875</v>
      </c>
      <c r="K29" s="113">
        <f t="shared" si="1"/>
        <v>-0.1658984375</v>
      </c>
    </row>
    <row r="30" spans="1:11" ht="15.75" x14ac:dyDescent="0.25">
      <c r="A30" s="47" t="s">
        <v>435</v>
      </c>
      <c r="B30" s="48">
        <f>B5</f>
        <v>5007625</v>
      </c>
      <c r="C30" s="49">
        <f>G5</f>
        <v>2800000</v>
      </c>
      <c r="D30" s="50">
        <f>K5</f>
        <v>3500000</v>
      </c>
      <c r="E30" s="50">
        <f>B17</f>
        <v>4600000</v>
      </c>
      <c r="F30" s="50">
        <f>G17</f>
        <v>3200000</v>
      </c>
      <c r="G30" s="50">
        <f>K17</f>
        <v>4700000</v>
      </c>
      <c r="H30" s="50">
        <f>SUM(C30:G30)/$B$35</f>
        <v>3760000</v>
      </c>
      <c r="I30" s="50">
        <f t="shared" si="0"/>
        <v>4383812.5</v>
      </c>
      <c r="J30" s="50">
        <f t="shared" si="2"/>
        <v>-623812.5</v>
      </c>
      <c r="K30" s="113">
        <f t="shared" si="1"/>
        <v>-0.13272606382978724</v>
      </c>
    </row>
    <row r="31" spans="1:11" ht="15.75" x14ac:dyDescent="0.25">
      <c r="A31" s="47" t="s">
        <v>105</v>
      </c>
      <c r="B31" s="48">
        <f>B4</f>
        <v>6443500</v>
      </c>
      <c r="C31" s="49">
        <f>G4</f>
        <v>3600000</v>
      </c>
      <c r="D31" s="50">
        <f>K4</f>
        <v>4900000</v>
      </c>
      <c r="E31" s="50">
        <f>B16</f>
        <v>5500000</v>
      </c>
      <c r="F31" s="50">
        <f>G16</f>
        <v>4800000</v>
      </c>
      <c r="G31" s="50">
        <f>K16</f>
        <v>6000000</v>
      </c>
      <c r="H31" s="50">
        <f>SUM(C31:G31)/$B$35</f>
        <v>4960000</v>
      </c>
      <c r="I31" s="50">
        <f t="shared" si="0"/>
        <v>5701750</v>
      </c>
      <c r="J31" s="50">
        <f t="shared" si="2"/>
        <v>-741750</v>
      </c>
      <c r="K31" s="113">
        <f t="shared" si="1"/>
        <v>-0.123625</v>
      </c>
    </row>
    <row r="35" spans="1:2" x14ac:dyDescent="0.2">
      <c r="A35" s="42" t="s">
        <v>160</v>
      </c>
      <c r="B35" s="42">
        <f>COUNTA(A27:A31)</f>
        <v>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74"/>
  <sheetViews>
    <sheetView topLeftCell="A30" workbookViewId="0">
      <selection activeCell="B52" sqref="B52"/>
    </sheetView>
  </sheetViews>
  <sheetFormatPr baseColWidth="10" defaultRowHeight="15" x14ac:dyDescent="0.25"/>
  <cols>
    <col min="1" max="1" width="29.42578125" customWidth="1"/>
    <col min="2" max="2" width="45.85546875" customWidth="1"/>
  </cols>
  <sheetData>
    <row r="1" spans="1:18" ht="39" thickBot="1" x14ac:dyDescent="0.3">
      <c r="A1" s="52" t="s">
        <v>162</v>
      </c>
      <c r="B1" s="53"/>
    </row>
    <row r="2" spans="1:18" ht="15.75" thickBot="1" x14ac:dyDescent="0.3">
      <c r="A2" s="55"/>
      <c r="B2" s="54"/>
    </row>
    <row r="3" spans="1:18" ht="15.75" thickBot="1" x14ac:dyDescent="0.3">
      <c r="A3" s="56" t="s">
        <v>163</v>
      </c>
      <c r="B3" s="57" t="s">
        <v>67</v>
      </c>
    </row>
    <row r="4" spans="1:18" ht="96.75" thickBot="1" x14ac:dyDescent="0.3">
      <c r="A4" s="56" t="s">
        <v>164</v>
      </c>
      <c r="B4" s="58" t="s">
        <v>165</v>
      </c>
    </row>
    <row r="5" spans="1:18" ht="51.75" thickBot="1" x14ac:dyDescent="0.3">
      <c r="A5" s="56" t="s">
        <v>166</v>
      </c>
      <c r="B5" s="58" t="s">
        <v>167</v>
      </c>
    </row>
    <row r="6" spans="1:18" ht="15.75" thickBot="1" x14ac:dyDescent="0.3">
      <c r="A6" s="56" t="s">
        <v>168</v>
      </c>
      <c r="B6" s="58" t="s">
        <v>169</v>
      </c>
    </row>
    <row r="7" spans="1:18" ht="15.75" thickBot="1" x14ac:dyDescent="0.3">
      <c r="A7" s="59"/>
    </row>
    <row r="8" spans="1:18" ht="15.75" thickBot="1" x14ac:dyDescent="0.3">
      <c r="A8" s="176" t="s">
        <v>170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8"/>
    </row>
    <row r="9" spans="1:18" ht="15.75" thickBot="1" x14ac:dyDescent="0.3">
      <c r="A9" s="60" t="s">
        <v>171</v>
      </c>
      <c r="B9" s="61"/>
      <c r="C9" s="179" t="s">
        <v>172</v>
      </c>
      <c r="D9" s="180"/>
      <c r="E9" s="61"/>
      <c r="F9" s="62" t="s">
        <v>173</v>
      </c>
      <c r="G9" s="61"/>
      <c r="H9" s="179" t="s">
        <v>174</v>
      </c>
      <c r="I9" s="181"/>
      <c r="J9" s="180"/>
      <c r="K9" s="61"/>
      <c r="L9" s="63" t="s">
        <v>175</v>
      </c>
      <c r="M9" s="61"/>
      <c r="N9" s="179" t="s">
        <v>176</v>
      </c>
      <c r="O9" s="180"/>
      <c r="P9" s="61" t="s">
        <v>62</v>
      </c>
      <c r="Q9" s="182"/>
      <c r="R9" s="183"/>
    </row>
    <row r="10" spans="1:18" ht="15.75" thickBot="1" x14ac:dyDescent="0.3">
      <c r="A10" s="179" t="s">
        <v>177</v>
      </c>
      <c r="B10" s="181"/>
      <c r="C10" s="180"/>
      <c r="D10" s="179" t="s">
        <v>178</v>
      </c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0"/>
    </row>
    <row r="11" spans="1:18" ht="15.75" thickBot="1" x14ac:dyDescent="0.3">
      <c r="A11" s="187" t="s">
        <v>179</v>
      </c>
      <c r="B11" s="188"/>
      <c r="C11" s="189"/>
      <c r="D11" s="179" t="s">
        <v>176</v>
      </c>
      <c r="E11" s="181"/>
      <c r="F11" s="181"/>
      <c r="G11" s="181"/>
      <c r="H11" s="180"/>
      <c r="I11" s="65">
        <v>0.2</v>
      </c>
      <c r="J11" s="179" t="s">
        <v>174</v>
      </c>
      <c r="K11" s="181"/>
      <c r="L11" s="180"/>
      <c r="M11" s="190">
        <v>0.1</v>
      </c>
      <c r="N11" s="191"/>
      <c r="O11" s="173" t="s">
        <v>180</v>
      </c>
      <c r="P11" s="174"/>
      <c r="Q11" s="175"/>
      <c r="R11" s="65">
        <v>0</v>
      </c>
    </row>
    <row r="12" spans="1:18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</row>
    <row r="13" spans="1:18" ht="15.75" thickBot="1" x14ac:dyDescent="0.3">
      <c r="A13" s="59"/>
    </row>
    <row r="14" spans="1:18" ht="15.75" thickBot="1" x14ac:dyDescent="0.3">
      <c r="A14" s="176" t="s">
        <v>181</v>
      </c>
      <c r="B14" s="177"/>
      <c r="C14" s="177"/>
      <c r="D14" s="177"/>
      <c r="E14" s="177"/>
      <c r="F14" s="177"/>
      <c r="G14" s="178"/>
    </row>
    <row r="15" spans="1:18" ht="15.75" thickBot="1" x14ac:dyDescent="0.3">
      <c r="A15" s="184" t="s">
        <v>182</v>
      </c>
      <c r="B15" s="185"/>
      <c r="C15" s="185"/>
      <c r="D15" s="185"/>
      <c r="E15" s="185"/>
      <c r="F15" s="185"/>
      <c r="G15" s="186"/>
    </row>
    <row r="16" spans="1:18" ht="15.75" thickBot="1" x14ac:dyDescent="0.3">
      <c r="A16" s="184" t="s">
        <v>183</v>
      </c>
      <c r="B16" s="185"/>
      <c r="C16" s="185"/>
      <c r="D16" s="185"/>
      <c r="E16" s="185"/>
      <c r="F16" s="185"/>
      <c r="G16" s="186"/>
    </row>
    <row r="17" spans="1:9" ht="15.75" thickBot="1" x14ac:dyDescent="0.3">
      <c r="A17" s="184" t="s">
        <v>184</v>
      </c>
      <c r="B17" s="185"/>
      <c r="C17" s="185"/>
      <c r="D17" s="185"/>
      <c r="E17" s="185"/>
      <c r="F17" s="185"/>
      <c r="G17" s="186"/>
    </row>
    <row r="18" spans="1:9" ht="15.75" thickBot="1" x14ac:dyDescent="0.3">
      <c r="A18" s="184" t="s">
        <v>185</v>
      </c>
      <c r="B18" s="185"/>
      <c r="C18" s="185"/>
      <c r="D18" s="185"/>
      <c r="E18" s="185"/>
      <c r="F18" s="185"/>
      <c r="G18" s="186"/>
    </row>
    <row r="19" spans="1:9" ht="15.75" thickBot="1" x14ac:dyDescent="0.3">
      <c r="A19" s="184" t="s">
        <v>186</v>
      </c>
      <c r="B19" s="185"/>
      <c r="C19" s="185"/>
      <c r="D19" s="185"/>
      <c r="E19" s="185"/>
      <c r="F19" s="185"/>
      <c r="G19" s="186"/>
    </row>
    <row r="20" spans="1:9" ht="15.75" thickBot="1" x14ac:dyDescent="0.3">
      <c r="A20" s="184" t="s">
        <v>187</v>
      </c>
      <c r="B20" s="185"/>
      <c r="C20" s="185"/>
      <c r="D20" s="185"/>
      <c r="E20" s="185"/>
      <c r="F20" s="185"/>
      <c r="G20" s="186"/>
    </row>
    <row r="21" spans="1:9" ht="15.75" thickBot="1" x14ac:dyDescent="0.3">
      <c r="A21" s="184" t="s">
        <v>188</v>
      </c>
      <c r="B21" s="185"/>
      <c r="C21" s="185"/>
      <c r="D21" s="185"/>
      <c r="E21" s="185"/>
      <c r="F21" s="185"/>
      <c r="G21" s="186"/>
    </row>
    <row r="22" spans="1:9" ht="15.75" thickBot="1" x14ac:dyDescent="0.3">
      <c r="A22" s="184" t="s">
        <v>189</v>
      </c>
      <c r="B22" s="185"/>
      <c r="C22" s="185"/>
      <c r="D22" s="185"/>
      <c r="E22" s="185"/>
      <c r="F22" s="185"/>
      <c r="G22" s="186"/>
    </row>
    <row r="23" spans="1:9" ht="15.75" thickBot="1" x14ac:dyDescent="0.3">
      <c r="A23" s="67" t="s">
        <v>179</v>
      </c>
      <c r="B23" s="68" t="s">
        <v>190</v>
      </c>
      <c r="C23" s="65">
        <v>0.2</v>
      </c>
      <c r="D23" s="63" t="s">
        <v>191</v>
      </c>
      <c r="E23" s="65">
        <v>0.18</v>
      </c>
      <c r="F23" s="63" t="s">
        <v>192</v>
      </c>
      <c r="G23" s="65">
        <v>0.16</v>
      </c>
    </row>
    <row r="24" spans="1:9" ht="15.75" thickBot="1" x14ac:dyDescent="0.3">
      <c r="A24" s="69"/>
      <c r="B24" s="70" t="s">
        <v>193</v>
      </c>
      <c r="C24" s="65">
        <v>0.14000000000000001</v>
      </c>
      <c r="D24" s="63" t="s">
        <v>194</v>
      </c>
      <c r="E24" s="65">
        <v>0.12</v>
      </c>
      <c r="F24" s="63" t="s">
        <v>195</v>
      </c>
      <c r="G24" s="65">
        <v>0.1</v>
      </c>
    </row>
    <row r="25" spans="1:9" ht="15.75" thickBot="1" x14ac:dyDescent="0.3">
      <c r="A25" s="64"/>
      <c r="B25" s="60" t="s">
        <v>196</v>
      </c>
      <c r="C25" s="65">
        <v>0.08</v>
      </c>
      <c r="D25" s="63" t="s">
        <v>197</v>
      </c>
      <c r="E25" s="65">
        <v>0.04</v>
      </c>
      <c r="F25" s="63" t="s">
        <v>198</v>
      </c>
      <c r="G25" s="65">
        <v>0</v>
      </c>
    </row>
    <row r="26" spans="1:9" x14ac:dyDescent="0.25">
      <c r="A26" s="59"/>
    </row>
    <row r="27" spans="1:9" ht="15.75" thickBot="1" x14ac:dyDescent="0.3">
      <c r="A27" s="59"/>
    </row>
    <row r="28" spans="1:9" ht="15.75" thickBot="1" x14ac:dyDescent="0.3">
      <c r="A28" s="176" t="s">
        <v>199</v>
      </c>
      <c r="B28" s="177"/>
      <c r="C28" s="177"/>
      <c r="D28" s="177"/>
      <c r="E28" s="177"/>
      <c r="F28" s="177"/>
      <c r="G28" s="177"/>
      <c r="H28" s="177"/>
      <c r="I28" s="178"/>
    </row>
    <row r="29" spans="1:9" ht="15.75" thickBot="1" x14ac:dyDescent="0.3">
      <c r="A29" s="176" t="s">
        <v>200</v>
      </c>
      <c r="B29" s="178"/>
      <c r="C29" s="176" t="s">
        <v>201</v>
      </c>
      <c r="D29" s="177"/>
      <c r="E29" s="177"/>
      <c r="F29" s="178"/>
      <c r="G29" s="176" t="s">
        <v>202</v>
      </c>
      <c r="H29" s="177"/>
      <c r="I29" s="178"/>
    </row>
    <row r="30" spans="1:9" ht="15.75" thickBot="1" x14ac:dyDescent="0.3">
      <c r="A30" s="192" t="s">
        <v>203</v>
      </c>
      <c r="B30" s="193"/>
      <c r="C30" s="184" t="s">
        <v>204</v>
      </c>
      <c r="D30" s="185"/>
      <c r="E30" s="185"/>
      <c r="F30" s="186"/>
      <c r="G30" s="184" t="s">
        <v>205</v>
      </c>
      <c r="H30" s="185"/>
      <c r="I30" s="186"/>
    </row>
    <row r="31" spans="1:9" ht="15.75" thickBot="1" x14ac:dyDescent="0.3">
      <c r="A31" s="192" t="s">
        <v>206</v>
      </c>
      <c r="B31" s="193"/>
      <c r="C31" s="194" t="s">
        <v>207</v>
      </c>
      <c r="D31" s="195"/>
      <c r="E31" s="195"/>
      <c r="F31" s="196"/>
      <c r="G31" s="184" t="s">
        <v>208</v>
      </c>
      <c r="H31" s="185"/>
      <c r="I31" s="186"/>
    </row>
    <row r="32" spans="1:9" ht="15.75" thickBot="1" x14ac:dyDescent="0.3">
      <c r="A32" s="197" t="s">
        <v>209</v>
      </c>
      <c r="B32" s="198"/>
      <c r="C32" s="198"/>
      <c r="D32" s="198"/>
      <c r="E32" s="198"/>
      <c r="F32" s="198"/>
      <c r="G32" s="198"/>
      <c r="H32" s="198"/>
      <c r="I32" s="199"/>
    </row>
    <row r="33" spans="1:11" ht="15.75" thickBot="1" x14ac:dyDescent="0.3">
      <c r="A33" s="71" t="s">
        <v>179</v>
      </c>
      <c r="B33" s="179" t="s">
        <v>210</v>
      </c>
      <c r="C33" s="180"/>
      <c r="D33" s="65">
        <v>0.2</v>
      </c>
      <c r="E33" s="63" t="s">
        <v>211</v>
      </c>
      <c r="F33" s="190">
        <v>0.15</v>
      </c>
      <c r="G33" s="191"/>
      <c r="H33" s="63" t="s">
        <v>212</v>
      </c>
      <c r="I33" s="65">
        <v>0.1</v>
      </c>
    </row>
    <row r="34" spans="1:11" ht="15.75" thickBot="1" x14ac:dyDescent="0.3">
      <c r="A34" s="71"/>
      <c r="B34" s="179" t="s">
        <v>213</v>
      </c>
      <c r="C34" s="180"/>
      <c r="D34" s="65">
        <v>0.05</v>
      </c>
      <c r="E34" s="63" t="s">
        <v>214</v>
      </c>
      <c r="F34" s="190">
        <v>0</v>
      </c>
      <c r="G34" s="191"/>
      <c r="H34" s="63"/>
      <c r="I34" s="72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</row>
    <row r="36" spans="1:11" x14ac:dyDescent="0.25">
      <c r="A36" s="59"/>
    </row>
    <row r="37" spans="1:11" x14ac:dyDescent="0.25">
      <c r="A37" s="59"/>
    </row>
    <row r="38" spans="1:11" ht="15.75" thickBot="1" x14ac:dyDescent="0.3">
      <c r="A38" s="59"/>
    </row>
    <row r="39" spans="1:11" ht="15.75" thickBot="1" x14ac:dyDescent="0.3">
      <c r="A39" s="176" t="s">
        <v>215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.75" thickBot="1" x14ac:dyDescent="0.3">
      <c r="A40" s="176" t="s">
        <v>216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.75" thickBot="1" x14ac:dyDescent="0.3">
      <c r="A41" s="73" t="s">
        <v>217</v>
      </c>
      <c r="B41" s="200" t="s">
        <v>218</v>
      </c>
      <c r="C41" s="201"/>
      <c r="D41" s="202"/>
      <c r="E41" s="200" t="s">
        <v>219</v>
      </c>
      <c r="F41" s="201"/>
      <c r="G41" s="202"/>
      <c r="H41" s="200" t="s">
        <v>220</v>
      </c>
      <c r="I41" s="201"/>
      <c r="J41" s="201"/>
      <c r="K41" s="202"/>
    </row>
    <row r="42" spans="1:11" ht="15.75" thickBot="1" x14ac:dyDescent="0.3">
      <c r="A42" s="74" t="s">
        <v>221</v>
      </c>
      <c r="B42" s="75" t="s">
        <v>222</v>
      </c>
      <c r="C42" s="76">
        <v>0.1</v>
      </c>
      <c r="D42" s="200" t="s">
        <v>223</v>
      </c>
      <c r="E42" s="202"/>
      <c r="F42" s="76">
        <v>0.06</v>
      </c>
      <c r="G42" s="75" t="s">
        <v>224</v>
      </c>
      <c r="H42" s="76">
        <v>0.04</v>
      </c>
      <c r="I42" s="200" t="s">
        <v>225</v>
      </c>
      <c r="J42" s="202"/>
      <c r="K42" s="76">
        <v>0</v>
      </c>
    </row>
    <row r="43" spans="1:11" ht="15.75" thickBot="1" x14ac:dyDescent="0.3">
      <c r="A43" s="176" t="s">
        <v>226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5.75" thickBot="1" x14ac:dyDescent="0.3">
      <c r="A44" s="77" t="s">
        <v>227</v>
      </c>
      <c r="B44" s="173" t="s">
        <v>228</v>
      </c>
      <c r="C44" s="174"/>
      <c r="D44" s="175"/>
      <c r="E44" s="173" t="s">
        <v>229</v>
      </c>
      <c r="F44" s="174"/>
      <c r="G44" s="175"/>
      <c r="H44" s="173" t="s">
        <v>230</v>
      </c>
      <c r="I44" s="174"/>
      <c r="J44" s="174"/>
      <c r="K44" s="175"/>
    </row>
    <row r="45" spans="1:11" ht="15.75" thickBot="1" x14ac:dyDescent="0.3">
      <c r="A45" s="74" t="s">
        <v>221</v>
      </c>
      <c r="B45" s="75" t="s">
        <v>222</v>
      </c>
      <c r="C45" s="76">
        <v>0.1</v>
      </c>
      <c r="D45" s="200" t="s">
        <v>223</v>
      </c>
      <c r="E45" s="202"/>
      <c r="F45" s="76">
        <v>0.06</v>
      </c>
      <c r="G45" s="75" t="s">
        <v>224</v>
      </c>
      <c r="H45" s="76">
        <v>0.04</v>
      </c>
      <c r="I45" s="75" t="s">
        <v>225</v>
      </c>
      <c r="J45" s="206">
        <v>0</v>
      </c>
      <c r="K45" s="207"/>
    </row>
    <row r="46" spans="1:1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x14ac:dyDescent="0.25">
      <c r="A47" s="78"/>
    </row>
    <row r="48" spans="1:11" ht="15.75" thickBot="1" x14ac:dyDescent="0.3">
      <c r="A48" s="78"/>
    </row>
    <row r="49" spans="1:2" ht="24.75" thickBot="1" x14ac:dyDescent="0.3">
      <c r="A49" s="52" t="s">
        <v>231</v>
      </c>
      <c r="B49" s="53"/>
    </row>
    <row r="50" spans="1:2" ht="15.75" thickBot="1" x14ac:dyDescent="0.3">
      <c r="A50" s="78"/>
    </row>
    <row r="51" spans="1:2" ht="15.75" thickBot="1" x14ac:dyDescent="0.3">
      <c r="A51" s="176" t="s">
        <v>232</v>
      </c>
      <c r="B51" s="178"/>
    </row>
    <row r="52" spans="1:2" ht="15.75" thickBot="1" x14ac:dyDescent="0.3">
      <c r="A52" s="79" t="s">
        <v>233</v>
      </c>
      <c r="B52" s="80" t="s">
        <v>234</v>
      </c>
    </row>
    <row r="53" spans="1:2" ht="24" x14ac:dyDescent="0.25">
      <c r="A53" s="203" t="s">
        <v>235</v>
      </c>
      <c r="B53" s="81" t="s">
        <v>236</v>
      </c>
    </row>
    <row r="54" spans="1:2" x14ac:dyDescent="0.25">
      <c r="A54" s="204"/>
      <c r="B54" s="81" t="s">
        <v>237</v>
      </c>
    </row>
    <row r="55" spans="1:2" x14ac:dyDescent="0.25">
      <c r="A55" s="204"/>
      <c r="B55" s="81" t="s">
        <v>238</v>
      </c>
    </row>
    <row r="56" spans="1:2" ht="24" x14ac:dyDescent="0.25">
      <c r="A56" s="204"/>
      <c r="B56" s="81" t="s">
        <v>239</v>
      </c>
    </row>
    <row r="57" spans="1:2" ht="24" x14ac:dyDescent="0.25">
      <c r="A57" s="204"/>
      <c r="B57" s="81" t="s">
        <v>240</v>
      </c>
    </row>
    <row r="58" spans="1:2" ht="72.75" x14ac:dyDescent="0.25">
      <c r="A58" s="204"/>
      <c r="B58" s="82" t="s">
        <v>241</v>
      </c>
    </row>
    <row r="59" spans="1:2" ht="25.5" thickBot="1" x14ac:dyDescent="0.3">
      <c r="A59" s="205"/>
      <c r="B59" s="83" t="s">
        <v>242</v>
      </c>
    </row>
    <row r="60" spans="1:2" x14ac:dyDescent="0.25">
      <c r="A60" s="203" t="s">
        <v>243</v>
      </c>
      <c r="B60" s="81" t="s">
        <v>244</v>
      </c>
    </row>
    <row r="61" spans="1:2" ht="24" x14ac:dyDescent="0.25">
      <c r="A61" s="204"/>
      <c r="B61" s="81" t="s">
        <v>245</v>
      </c>
    </row>
    <row r="62" spans="1:2" ht="15.75" thickBot="1" x14ac:dyDescent="0.3">
      <c r="A62" s="205"/>
      <c r="B62" s="84" t="s">
        <v>246</v>
      </c>
    </row>
    <row r="63" spans="1:2" ht="26.25" thickBot="1" x14ac:dyDescent="0.3">
      <c r="A63" s="85" t="s">
        <v>247</v>
      </c>
      <c r="B63" s="84" t="s">
        <v>248</v>
      </c>
    </row>
    <row r="64" spans="1:2" ht="36" x14ac:dyDescent="0.25">
      <c r="A64" s="203" t="s">
        <v>249</v>
      </c>
      <c r="B64" s="81" t="s">
        <v>250</v>
      </c>
    </row>
    <row r="65" spans="1:2" ht="24.75" thickBot="1" x14ac:dyDescent="0.3">
      <c r="A65" s="205"/>
      <c r="B65" s="84" t="s">
        <v>251</v>
      </c>
    </row>
    <row r="66" spans="1:2" x14ac:dyDescent="0.25">
      <c r="A66" s="86"/>
    </row>
    <row r="67" spans="1:2" x14ac:dyDescent="0.25">
      <c r="A67" s="78"/>
    </row>
    <row r="68" spans="1:2" x14ac:dyDescent="0.25">
      <c r="A68" s="86"/>
    </row>
    <row r="69" spans="1:2" x14ac:dyDescent="0.25">
      <c r="A69" s="86"/>
    </row>
    <row r="70" spans="1:2" x14ac:dyDescent="0.25">
      <c r="A70" s="86"/>
    </row>
    <row r="71" spans="1:2" x14ac:dyDescent="0.25">
      <c r="A71" s="86"/>
    </row>
    <row r="72" spans="1:2" x14ac:dyDescent="0.25">
      <c r="A72" s="86"/>
    </row>
    <row r="73" spans="1:2" x14ac:dyDescent="0.25">
      <c r="A73" s="59"/>
    </row>
    <row r="74" spans="1:2" x14ac:dyDescent="0.25">
      <c r="A74" s="87"/>
    </row>
  </sheetData>
  <mergeCells count="53">
    <mergeCell ref="A51:B51"/>
    <mergeCell ref="A53:A59"/>
    <mergeCell ref="A60:A62"/>
    <mergeCell ref="A64:A65"/>
    <mergeCell ref="A43:K43"/>
    <mergeCell ref="B44:D44"/>
    <mergeCell ref="E44:G44"/>
    <mergeCell ref="H44:K44"/>
    <mergeCell ref="D45:E45"/>
    <mergeCell ref="J45:K45"/>
    <mergeCell ref="A40:K40"/>
    <mergeCell ref="B41:D41"/>
    <mergeCell ref="E41:G41"/>
    <mergeCell ref="H41:K41"/>
    <mergeCell ref="D42:E42"/>
    <mergeCell ref="I42:J42"/>
    <mergeCell ref="A39:K39"/>
    <mergeCell ref="A30:B30"/>
    <mergeCell ref="C30:F30"/>
    <mergeCell ref="G30:I30"/>
    <mergeCell ref="A31:B31"/>
    <mergeCell ref="C31:F31"/>
    <mergeCell ref="G31:I31"/>
    <mergeCell ref="A32:I32"/>
    <mergeCell ref="B33:C33"/>
    <mergeCell ref="F33:G33"/>
    <mergeCell ref="B34:C34"/>
    <mergeCell ref="F34:G34"/>
    <mergeCell ref="A21:G21"/>
    <mergeCell ref="A22:G22"/>
    <mergeCell ref="A28:I28"/>
    <mergeCell ref="A29:B29"/>
    <mergeCell ref="C29:F29"/>
    <mergeCell ref="G29:I29"/>
    <mergeCell ref="A20:G20"/>
    <mergeCell ref="A11:C11"/>
    <mergeCell ref="D11:H11"/>
    <mergeCell ref="J11:L11"/>
    <mergeCell ref="M11:N11"/>
    <mergeCell ref="A15:G15"/>
    <mergeCell ref="A16:G16"/>
    <mergeCell ref="A17:G17"/>
    <mergeCell ref="A18:G18"/>
    <mergeCell ref="A19:G19"/>
    <mergeCell ref="O11:Q11"/>
    <mergeCell ref="A14:G14"/>
    <mergeCell ref="A8:R8"/>
    <mergeCell ref="C9:D9"/>
    <mergeCell ref="H9:J9"/>
    <mergeCell ref="N9:O9"/>
    <mergeCell ref="Q9:R9"/>
    <mergeCell ref="A10:C10"/>
    <mergeCell ref="D10:R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R75"/>
  <sheetViews>
    <sheetView workbookViewId="0">
      <selection activeCell="E5" sqref="E5"/>
    </sheetView>
  </sheetViews>
  <sheetFormatPr baseColWidth="10" defaultRowHeight="15" x14ac:dyDescent="0.25"/>
  <cols>
    <col min="1" max="1" width="25.28515625" customWidth="1"/>
    <col min="2" max="2" width="40.42578125" customWidth="1"/>
  </cols>
  <sheetData>
    <row r="1" spans="1:18" ht="15.75" thickBot="1" x14ac:dyDescent="0.3"/>
    <row r="2" spans="1:18" ht="39" thickBot="1" x14ac:dyDescent="0.3">
      <c r="A2" s="52" t="s">
        <v>162</v>
      </c>
      <c r="B2" s="53"/>
    </row>
    <row r="3" spans="1:18" ht="15.75" thickBot="1" x14ac:dyDescent="0.3">
      <c r="A3" s="55"/>
      <c r="B3" s="54"/>
    </row>
    <row r="4" spans="1:18" ht="15.75" thickBot="1" x14ac:dyDescent="0.3">
      <c r="A4" s="56" t="s">
        <v>163</v>
      </c>
      <c r="B4" s="57" t="s">
        <v>252</v>
      </c>
    </row>
    <row r="5" spans="1:18" ht="36.75" thickBot="1" x14ac:dyDescent="0.3">
      <c r="A5" s="56" t="s">
        <v>164</v>
      </c>
      <c r="B5" s="58" t="s">
        <v>253</v>
      </c>
    </row>
    <row r="6" spans="1:18" ht="51.75" thickBot="1" x14ac:dyDescent="0.3">
      <c r="A6" s="56" t="s">
        <v>166</v>
      </c>
      <c r="B6" s="58" t="s">
        <v>105</v>
      </c>
    </row>
    <row r="7" spans="1:18" ht="24.75" thickBot="1" x14ac:dyDescent="0.3">
      <c r="A7" s="56" t="s">
        <v>168</v>
      </c>
      <c r="B7" s="58" t="s">
        <v>254</v>
      </c>
    </row>
    <row r="8" spans="1:18" ht="15.75" thickBot="1" x14ac:dyDescent="0.3">
      <c r="A8" s="59"/>
    </row>
    <row r="9" spans="1:18" ht="15.75" thickBot="1" x14ac:dyDescent="0.3">
      <c r="A9" s="176" t="s">
        <v>170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18" ht="15.75" thickBot="1" x14ac:dyDescent="0.3">
      <c r="A10" s="60" t="s">
        <v>171</v>
      </c>
      <c r="B10" s="61"/>
      <c r="C10" s="179" t="s">
        <v>172</v>
      </c>
      <c r="D10" s="180"/>
      <c r="E10" s="61"/>
      <c r="F10" s="62" t="s">
        <v>173</v>
      </c>
      <c r="G10" s="61"/>
      <c r="H10" s="179" t="s">
        <v>174</v>
      </c>
      <c r="I10" s="181"/>
      <c r="J10" s="180"/>
      <c r="K10" s="61"/>
      <c r="L10" s="63" t="s">
        <v>175</v>
      </c>
      <c r="M10" s="61"/>
      <c r="N10" s="179" t="s">
        <v>176</v>
      </c>
      <c r="O10" s="180"/>
      <c r="P10" s="61" t="s">
        <v>255</v>
      </c>
      <c r="Q10" s="182"/>
      <c r="R10" s="183"/>
    </row>
    <row r="11" spans="1:18" ht="15.75" thickBot="1" x14ac:dyDescent="0.3">
      <c r="A11" s="179" t="s">
        <v>177</v>
      </c>
      <c r="B11" s="181"/>
      <c r="C11" s="180"/>
      <c r="D11" s="179" t="s">
        <v>256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0"/>
    </row>
    <row r="12" spans="1:18" ht="15.75" thickBot="1" x14ac:dyDescent="0.3">
      <c r="A12" s="187" t="s">
        <v>179</v>
      </c>
      <c r="B12" s="188"/>
      <c r="C12" s="189"/>
      <c r="D12" s="179" t="s">
        <v>176</v>
      </c>
      <c r="E12" s="181"/>
      <c r="F12" s="181"/>
      <c r="G12" s="181"/>
      <c r="H12" s="180"/>
      <c r="I12" s="65">
        <v>0.2</v>
      </c>
      <c r="J12" s="179" t="s">
        <v>257</v>
      </c>
      <c r="K12" s="181"/>
      <c r="L12" s="180"/>
      <c r="M12" s="190">
        <v>0.1</v>
      </c>
      <c r="N12" s="191"/>
      <c r="O12" s="173" t="s">
        <v>258</v>
      </c>
      <c r="P12" s="174"/>
      <c r="Q12" s="175"/>
      <c r="R12" s="65">
        <v>0</v>
      </c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5.75" thickBot="1" x14ac:dyDescent="0.3">
      <c r="A14" s="59"/>
    </row>
    <row r="15" spans="1:18" ht="15.75" thickBot="1" x14ac:dyDescent="0.3">
      <c r="A15" s="176" t="s">
        <v>181</v>
      </c>
      <c r="B15" s="177"/>
      <c r="C15" s="177"/>
      <c r="D15" s="177"/>
      <c r="E15" s="177"/>
      <c r="F15" s="177"/>
      <c r="G15" s="178"/>
    </row>
    <row r="16" spans="1:18" ht="15.75" thickBot="1" x14ac:dyDescent="0.3">
      <c r="A16" s="184" t="s">
        <v>259</v>
      </c>
      <c r="B16" s="185"/>
      <c r="C16" s="185"/>
      <c r="D16" s="185"/>
      <c r="E16" s="185"/>
      <c r="F16" s="185"/>
      <c r="G16" s="186"/>
    </row>
    <row r="17" spans="1:9" ht="15.75" thickBot="1" x14ac:dyDescent="0.3">
      <c r="A17" s="184" t="s">
        <v>260</v>
      </c>
      <c r="B17" s="185"/>
      <c r="C17" s="185"/>
      <c r="D17" s="185"/>
      <c r="E17" s="185"/>
      <c r="F17" s="185"/>
      <c r="G17" s="186"/>
    </row>
    <row r="18" spans="1:9" ht="15.75" thickBot="1" x14ac:dyDescent="0.3">
      <c r="A18" s="184" t="s">
        <v>261</v>
      </c>
      <c r="B18" s="185"/>
      <c r="C18" s="185"/>
      <c r="D18" s="185"/>
      <c r="E18" s="185"/>
      <c r="F18" s="185"/>
      <c r="G18" s="186"/>
    </row>
    <row r="19" spans="1:9" ht="15.75" thickBot="1" x14ac:dyDescent="0.3">
      <c r="A19" s="184" t="s">
        <v>262</v>
      </c>
      <c r="B19" s="185"/>
      <c r="C19" s="185"/>
      <c r="D19" s="185"/>
      <c r="E19" s="185"/>
      <c r="F19" s="185"/>
      <c r="G19" s="186"/>
    </row>
    <row r="20" spans="1:9" ht="15.75" thickBot="1" x14ac:dyDescent="0.3">
      <c r="A20" s="184" t="s">
        <v>263</v>
      </c>
      <c r="B20" s="185"/>
      <c r="C20" s="185"/>
      <c r="D20" s="185"/>
      <c r="E20" s="185"/>
      <c r="F20" s="185"/>
      <c r="G20" s="186"/>
    </row>
    <row r="21" spans="1:9" ht="15.75" thickBot="1" x14ac:dyDescent="0.3">
      <c r="A21" s="184" t="s">
        <v>264</v>
      </c>
      <c r="B21" s="185"/>
      <c r="C21" s="185"/>
      <c r="D21" s="185"/>
      <c r="E21" s="185"/>
      <c r="F21" s="185"/>
      <c r="G21" s="186"/>
    </row>
    <row r="22" spans="1:9" ht="15.75" thickBot="1" x14ac:dyDescent="0.3">
      <c r="A22" s="184" t="s">
        <v>265</v>
      </c>
      <c r="B22" s="185"/>
      <c r="C22" s="185"/>
      <c r="D22" s="185"/>
      <c r="E22" s="185"/>
      <c r="F22" s="185"/>
      <c r="G22" s="186"/>
    </row>
    <row r="23" spans="1:9" ht="15.75" thickBot="1" x14ac:dyDescent="0.3">
      <c r="A23" s="184" t="s">
        <v>266</v>
      </c>
      <c r="B23" s="185"/>
      <c r="C23" s="185"/>
      <c r="D23" s="185"/>
      <c r="E23" s="185"/>
      <c r="F23" s="185"/>
      <c r="G23" s="186"/>
    </row>
    <row r="24" spans="1:9" ht="15.75" thickBot="1" x14ac:dyDescent="0.3">
      <c r="A24" s="67" t="s">
        <v>179</v>
      </c>
      <c r="B24" s="68" t="s">
        <v>190</v>
      </c>
      <c r="C24" s="65">
        <v>0.2</v>
      </c>
      <c r="D24" s="63" t="s">
        <v>191</v>
      </c>
      <c r="E24" s="65">
        <v>0.18</v>
      </c>
      <c r="F24" s="63" t="s">
        <v>192</v>
      </c>
      <c r="G24" s="65">
        <v>0.16</v>
      </c>
    </row>
    <row r="25" spans="1:9" ht="15.75" thickBot="1" x14ac:dyDescent="0.3">
      <c r="A25" s="69"/>
      <c r="B25" s="70" t="s">
        <v>193</v>
      </c>
      <c r="C25" s="65">
        <v>0.14000000000000001</v>
      </c>
      <c r="D25" s="63" t="s">
        <v>194</v>
      </c>
      <c r="E25" s="65">
        <v>0.12</v>
      </c>
      <c r="F25" s="63" t="s">
        <v>195</v>
      </c>
      <c r="G25" s="65">
        <v>0.1</v>
      </c>
    </row>
    <row r="26" spans="1:9" ht="15.75" thickBot="1" x14ac:dyDescent="0.3">
      <c r="A26" s="64"/>
      <c r="B26" s="60" t="s">
        <v>196</v>
      </c>
      <c r="C26" s="65">
        <v>0.08</v>
      </c>
      <c r="D26" s="63" t="s">
        <v>197</v>
      </c>
      <c r="E26" s="65">
        <v>0.04</v>
      </c>
      <c r="F26" s="63" t="s">
        <v>198</v>
      </c>
      <c r="G26" s="65">
        <v>0</v>
      </c>
    </row>
    <row r="27" spans="1:9" ht="15.75" thickBot="1" x14ac:dyDescent="0.3">
      <c r="A27" s="59"/>
    </row>
    <row r="28" spans="1:9" ht="15.75" thickBot="1" x14ac:dyDescent="0.3">
      <c r="A28" s="176" t="s">
        <v>199</v>
      </c>
      <c r="B28" s="177"/>
      <c r="C28" s="177"/>
      <c r="D28" s="177"/>
      <c r="E28" s="177"/>
      <c r="F28" s="177"/>
      <c r="G28" s="177"/>
      <c r="H28" s="177"/>
      <c r="I28" s="178"/>
    </row>
    <row r="29" spans="1:9" ht="15.75" thickBot="1" x14ac:dyDescent="0.3">
      <c r="A29" s="176" t="s">
        <v>200</v>
      </c>
      <c r="B29" s="178"/>
      <c r="C29" s="176" t="s">
        <v>201</v>
      </c>
      <c r="D29" s="177"/>
      <c r="E29" s="177"/>
      <c r="F29" s="178"/>
      <c r="G29" s="176" t="s">
        <v>202</v>
      </c>
      <c r="H29" s="177"/>
      <c r="I29" s="178"/>
    </row>
    <row r="30" spans="1:9" ht="15.75" thickBot="1" x14ac:dyDescent="0.3">
      <c r="A30" s="192" t="s">
        <v>203</v>
      </c>
      <c r="B30" s="193"/>
      <c r="C30" s="200" t="s">
        <v>267</v>
      </c>
      <c r="D30" s="201"/>
      <c r="E30" s="201"/>
      <c r="F30" s="202"/>
      <c r="G30" s="200" t="s">
        <v>268</v>
      </c>
      <c r="H30" s="201"/>
      <c r="I30" s="202"/>
    </row>
    <row r="31" spans="1:9" ht="15.75" thickBot="1" x14ac:dyDescent="0.3">
      <c r="A31" s="192" t="s">
        <v>206</v>
      </c>
      <c r="B31" s="193"/>
      <c r="C31" s="208" t="s">
        <v>269</v>
      </c>
      <c r="D31" s="209"/>
      <c r="E31" s="209"/>
      <c r="F31" s="210"/>
      <c r="G31" s="200" t="s">
        <v>270</v>
      </c>
      <c r="H31" s="201"/>
      <c r="I31" s="202"/>
    </row>
    <row r="32" spans="1:9" ht="15.75" thickBot="1" x14ac:dyDescent="0.3">
      <c r="A32" s="197" t="s">
        <v>209</v>
      </c>
      <c r="B32" s="198"/>
      <c r="C32" s="198"/>
      <c r="D32" s="198"/>
      <c r="E32" s="198"/>
      <c r="F32" s="198"/>
      <c r="G32" s="198"/>
      <c r="H32" s="198"/>
      <c r="I32" s="199"/>
    </row>
    <row r="33" spans="1:11" ht="15.75" thickBot="1" x14ac:dyDescent="0.3">
      <c r="A33" s="67" t="s">
        <v>179</v>
      </c>
      <c r="B33" s="179" t="s">
        <v>210</v>
      </c>
      <c r="C33" s="180"/>
      <c r="D33" s="65">
        <v>0.2</v>
      </c>
      <c r="E33" s="63" t="s">
        <v>271</v>
      </c>
      <c r="F33" s="190">
        <v>0.15</v>
      </c>
      <c r="G33" s="191"/>
      <c r="H33" s="63" t="s">
        <v>272</v>
      </c>
      <c r="I33" s="65">
        <v>0.1</v>
      </c>
    </row>
    <row r="34" spans="1:11" ht="15.75" thickBot="1" x14ac:dyDescent="0.3">
      <c r="A34" s="69"/>
      <c r="B34" s="179" t="s">
        <v>273</v>
      </c>
      <c r="C34" s="180"/>
      <c r="D34" s="65">
        <v>0</v>
      </c>
      <c r="E34" s="62"/>
      <c r="F34" s="211"/>
      <c r="G34" s="212"/>
      <c r="H34" s="63"/>
      <c r="I34" s="72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</row>
    <row r="36" spans="1:11" x14ac:dyDescent="0.25">
      <c r="A36" s="59"/>
    </row>
    <row r="37" spans="1:11" ht="15.75" thickBot="1" x14ac:dyDescent="0.3">
      <c r="A37" s="59"/>
    </row>
    <row r="38" spans="1:11" ht="15.75" thickBot="1" x14ac:dyDescent="0.3">
      <c r="A38" s="176" t="s">
        <v>215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5.75" thickBot="1" x14ac:dyDescent="0.3">
      <c r="A39" s="176" t="s">
        <v>216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.75" thickBot="1" x14ac:dyDescent="0.3">
      <c r="A40" s="73" t="s">
        <v>217</v>
      </c>
      <c r="B40" s="200" t="s">
        <v>218</v>
      </c>
      <c r="C40" s="201"/>
      <c r="D40" s="202"/>
      <c r="E40" s="200" t="s">
        <v>219</v>
      </c>
      <c r="F40" s="201"/>
      <c r="G40" s="202"/>
      <c r="H40" s="200" t="s">
        <v>220</v>
      </c>
      <c r="I40" s="201"/>
      <c r="J40" s="201"/>
      <c r="K40" s="202"/>
    </row>
    <row r="41" spans="1:11" ht="15.75" thickBot="1" x14ac:dyDescent="0.3">
      <c r="A41" s="74" t="s">
        <v>221</v>
      </c>
      <c r="B41" s="75" t="s">
        <v>222</v>
      </c>
      <c r="C41" s="76">
        <v>0.1</v>
      </c>
      <c r="D41" s="200" t="s">
        <v>223</v>
      </c>
      <c r="E41" s="202"/>
      <c r="F41" s="76">
        <v>0.06</v>
      </c>
      <c r="G41" s="75" t="s">
        <v>224</v>
      </c>
      <c r="H41" s="76">
        <v>0.04</v>
      </c>
      <c r="I41" s="200" t="s">
        <v>225</v>
      </c>
      <c r="J41" s="202"/>
      <c r="K41" s="76">
        <v>0</v>
      </c>
    </row>
    <row r="42" spans="1:11" ht="15.75" thickBot="1" x14ac:dyDescent="0.3">
      <c r="A42" s="176" t="s">
        <v>226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.75" thickBot="1" x14ac:dyDescent="0.3">
      <c r="A43" s="73" t="s">
        <v>229</v>
      </c>
      <c r="B43" s="200" t="s">
        <v>274</v>
      </c>
      <c r="C43" s="201"/>
      <c r="D43" s="202"/>
      <c r="E43" s="173" t="s">
        <v>275</v>
      </c>
      <c r="F43" s="174"/>
      <c r="G43" s="175"/>
      <c r="H43" s="200" t="s">
        <v>276</v>
      </c>
      <c r="I43" s="201"/>
      <c r="J43" s="201"/>
      <c r="K43" s="202"/>
    </row>
    <row r="44" spans="1:11" ht="15.75" thickBot="1" x14ac:dyDescent="0.3">
      <c r="A44" s="74" t="s">
        <v>221</v>
      </c>
      <c r="B44" s="75" t="s">
        <v>222</v>
      </c>
      <c r="C44" s="76">
        <v>0.1</v>
      </c>
      <c r="D44" s="200" t="s">
        <v>223</v>
      </c>
      <c r="E44" s="202"/>
      <c r="F44" s="76">
        <v>0.06</v>
      </c>
      <c r="G44" s="75" t="s">
        <v>224</v>
      </c>
      <c r="H44" s="76">
        <v>0.04</v>
      </c>
      <c r="I44" s="75" t="s">
        <v>225</v>
      </c>
      <c r="J44" s="206">
        <v>0</v>
      </c>
      <c r="K44" s="207"/>
    </row>
    <row r="45" spans="1:1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 ht="15.75" thickBot="1" x14ac:dyDescent="0.3">
      <c r="A46" s="78"/>
    </row>
    <row r="47" spans="1:11" ht="26.25" thickBot="1" x14ac:dyDescent="0.3">
      <c r="A47" s="52" t="s">
        <v>231</v>
      </c>
      <c r="B47" s="53"/>
    </row>
    <row r="48" spans="1:11" ht="15.75" thickBot="1" x14ac:dyDescent="0.3">
      <c r="A48" s="78"/>
    </row>
    <row r="49" spans="1:2" ht="15.75" thickBot="1" x14ac:dyDescent="0.3">
      <c r="A49" s="176" t="s">
        <v>232</v>
      </c>
      <c r="B49" s="178"/>
    </row>
    <row r="50" spans="1:2" ht="15.75" thickBot="1" x14ac:dyDescent="0.3">
      <c r="A50" s="79" t="s">
        <v>233</v>
      </c>
      <c r="B50" s="80" t="s">
        <v>234</v>
      </c>
    </row>
    <row r="51" spans="1:2" ht="24" x14ac:dyDescent="0.25">
      <c r="A51" s="203" t="s">
        <v>277</v>
      </c>
      <c r="B51" s="81" t="s">
        <v>278</v>
      </c>
    </row>
    <row r="52" spans="1:2" ht="24" x14ac:dyDescent="0.25">
      <c r="A52" s="204"/>
      <c r="B52" s="81" t="s">
        <v>279</v>
      </c>
    </row>
    <row r="53" spans="1:2" ht="24" x14ac:dyDescent="0.25">
      <c r="A53" s="204"/>
      <c r="B53" s="81" t="s">
        <v>280</v>
      </c>
    </row>
    <row r="54" spans="1:2" ht="24" x14ac:dyDescent="0.25">
      <c r="A54" s="204"/>
      <c r="B54" s="81" t="s">
        <v>281</v>
      </c>
    </row>
    <row r="55" spans="1:2" ht="24" x14ac:dyDescent="0.25">
      <c r="A55" s="204"/>
      <c r="B55" s="81" t="s">
        <v>282</v>
      </c>
    </row>
    <row r="56" spans="1:2" ht="24" x14ac:dyDescent="0.25">
      <c r="A56" s="204"/>
      <c r="B56" s="81" t="s">
        <v>283</v>
      </c>
    </row>
    <row r="57" spans="1:2" ht="36" x14ac:dyDescent="0.25">
      <c r="A57" s="204"/>
      <c r="B57" s="88" t="s">
        <v>284</v>
      </c>
    </row>
    <row r="58" spans="1:2" ht="24.75" thickBot="1" x14ac:dyDescent="0.3">
      <c r="A58" s="205"/>
      <c r="B58" s="89" t="s">
        <v>285</v>
      </c>
    </row>
    <row r="59" spans="1:2" ht="25.5" thickBot="1" x14ac:dyDescent="0.3">
      <c r="A59" s="85" t="s">
        <v>286</v>
      </c>
      <c r="B59" s="83" t="s">
        <v>287</v>
      </c>
    </row>
    <row r="60" spans="1:2" x14ac:dyDescent="0.25">
      <c r="A60" s="203" t="s">
        <v>288</v>
      </c>
      <c r="B60" s="82" t="s">
        <v>289</v>
      </c>
    </row>
    <row r="61" spans="1:2" ht="25.5" thickBot="1" x14ac:dyDescent="0.3">
      <c r="A61" s="205"/>
      <c r="B61" s="83" t="s">
        <v>290</v>
      </c>
    </row>
    <row r="62" spans="1:2" ht="24.75" x14ac:dyDescent="0.25">
      <c r="A62" s="203" t="s">
        <v>291</v>
      </c>
      <c r="B62" s="82" t="s">
        <v>292</v>
      </c>
    </row>
    <row r="63" spans="1:2" ht="24.75" x14ac:dyDescent="0.25">
      <c r="A63" s="204"/>
      <c r="B63" s="82" t="s">
        <v>293</v>
      </c>
    </row>
    <row r="64" spans="1:2" ht="36.75" x14ac:dyDescent="0.25">
      <c r="A64" s="204"/>
      <c r="B64" s="82" t="s">
        <v>294</v>
      </c>
    </row>
    <row r="65" spans="1:2" ht="36.75" x14ac:dyDescent="0.25">
      <c r="A65" s="204"/>
      <c r="B65" s="82" t="s">
        <v>295</v>
      </c>
    </row>
    <row r="66" spans="1:2" ht="15.75" thickBot="1" x14ac:dyDescent="0.3">
      <c r="A66" s="205"/>
      <c r="B66" s="83" t="s">
        <v>296</v>
      </c>
    </row>
    <row r="67" spans="1:2" ht="24" x14ac:dyDescent="0.25">
      <c r="A67" s="203" t="s">
        <v>297</v>
      </c>
      <c r="B67" s="88" t="s">
        <v>298</v>
      </c>
    </row>
    <row r="68" spans="1:2" x14ac:dyDescent="0.25">
      <c r="A68" s="204"/>
      <c r="B68" s="88" t="s">
        <v>299</v>
      </c>
    </row>
    <row r="69" spans="1:2" ht="24" x14ac:dyDescent="0.25">
      <c r="A69" s="204"/>
      <c r="B69" s="88" t="s">
        <v>300</v>
      </c>
    </row>
    <row r="70" spans="1:2" ht="24" x14ac:dyDescent="0.25">
      <c r="A70" s="204"/>
      <c r="B70" s="88" t="s">
        <v>301</v>
      </c>
    </row>
    <row r="71" spans="1:2" x14ac:dyDescent="0.25">
      <c r="A71" s="204"/>
      <c r="B71" s="88" t="s">
        <v>302</v>
      </c>
    </row>
    <row r="72" spans="1:2" ht="24.75" thickBot="1" x14ac:dyDescent="0.3">
      <c r="A72" s="205"/>
      <c r="B72" s="89" t="s">
        <v>303</v>
      </c>
    </row>
    <row r="73" spans="1:2" x14ac:dyDescent="0.25">
      <c r="A73" s="203" t="s">
        <v>235</v>
      </c>
      <c r="B73" s="88" t="s">
        <v>304</v>
      </c>
    </row>
    <row r="74" spans="1:2" x14ac:dyDescent="0.25">
      <c r="A74" s="204"/>
      <c r="B74" s="88" t="s">
        <v>305</v>
      </c>
    </row>
    <row r="75" spans="1:2" ht="15.75" thickBot="1" x14ac:dyDescent="0.3">
      <c r="A75" s="205"/>
      <c r="B75" s="89" t="s">
        <v>306</v>
      </c>
    </row>
  </sheetData>
  <mergeCells count="55">
    <mergeCell ref="A73:A75"/>
    <mergeCell ref="A42:K42"/>
    <mergeCell ref="B43:D43"/>
    <mergeCell ref="E43:G43"/>
    <mergeCell ref="H43:K43"/>
    <mergeCell ref="D44:E44"/>
    <mergeCell ref="J44:K44"/>
    <mergeCell ref="A49:B49"/>
    <mergeCell ref="A51:A58"/>
    <mergeCell ref="A60:A61"/>
    <mergeCell ref="A62:A66"/>
    <mergeCell ref="A67:A72"/>
    <mergeCell ref="A39:K39"/>
    <mergeCell ref="B40:D40"/>
    <mergeCell ref="E40:G40"/>
    <mergeCell ref="H40:K40"/>
    <mergeCell ref="D41:E41"/>
    <mergeCell ref="I41:J41"/>
    <mergeCell ref="A38:K38"/>
    <mergeCell ref="A30:B30"/>
    <mergeCell ref="C30:F30"/>
    <mergeCell ref="G30:I30"/>
    <mergeCell ref="A31:B31"/>
    <mergeCell ref="C31:F31"/>
    <mergeCell ref="G31:I31"/>
    <mergeCell ref="A32:I32"/>
    <mergeCell ref="B33:C33"/>
    <mergeCell ref="F33:G33"/>
    <mergeCell ref="B34:C34"/>
    <mergeCell ref="F34:G34"/>
    <mergeCell ref="A22:G22"/>
    <mergeCell ref="A23:G23"/>
    <mergeCell ref="A28:I28"/>
    <mergeCell ref="A29:B29"/>
    <mergeCell ref="C29:F29"/>
    <mergeCell ref="G29:I29"/>
    <mergeCell ref="A21:G21"/>
    <mergeCell ref="A12:C12"/>
    <mergeCell ref="D12:H12"/>
    <mergeCell ref="J12:L12"/>
    <mergeCell ref="M12:N12"/>
    <mergeCell ref="A16:G16"/>
    <mergeCell ref="A17:G17"/>
    <mergeCell ref="A18:G18"/>
    <mergeCell ref="A19:G19"/>
    <mergeCell ref="A20:G20"/>
    <mergeCell ref="O12:Q12"/>
    <mergeCell ref="A15:G15"/>
    <mergeCell ref="A9:R9"/>
    <mergeCell ref="C10:D10"/>
    <mergeCell ref="H10:J10"/>
    <mergeCell ref="N10:O10"/>
    <mergeCell ref="Q10:R10"/>
    <mergeCell ref="A11:C11"/>
    <mergeCell ref="D11:R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77"/>
  <sheetViews>
    <sheetView workbookViewId="0">
      <selection activeCell="K1" sqref="K1"/>
    </sheetView>
  </sheetViews>
  <sheetFormatPr baseColWidth="10" defaultRowHeight="15" x14ac:dyDescent="0.25"/>
  <cols>
    <col min="1" max="1" width="26.5703125" customWidth="1"/>
    <col min="2" max="2" width="28.28515625" customWidth="1"/>
  </cols>
  <sheetData>
    <row r="1" spans="1:18" ht="15.75" thickBot="1" x14ac:dyDescent="0.3"/>
    <row r="2" spans="1:18" ht="39" thickBot="1" x14ac:dyDescent="0.3">
      <c r="A2" s="52" t="s">
        <v>162</v>
      </c>
      <c r="B2" s="53"/>
    </row>
    <row r="3" spans="1:18" ht="15.75" thickBot="1" x14ac:dyDescent="0.3">
      <c r="A3" s="55"/>
      <c r="B3" s="54"/>
    </row>
    <row r="4" spans="1:18" ht="51.75" thickBot="1" x14ac:dyDescent="0.3">
      <c r="A4" s="56" t="s">
        <v>163</v>
      </c>
      <c r="B4" s="57" t="s">
        <v>307</v>
      </c>
    </row>
    <row r="5" spans="1:18" ht="48.75" thickBot="1" x14ac:dyDescent="0.3">
      <c r="A5" s="56" t="s">
        <v>164</v>
      </c>
      <c r="B5" s="58" t="s">
        <v>308</v>
      </c>
    </row>
    <row r="6" spans="1:18" ht="51.75" thickBot="1" x14ac:dyDescent="0.3">
      <c r="A6" s="56" t="s">
        <v>166</v>
      </c>
      <c r="B6" s="58" t="s">
        <v>309</v>
      </c>
    </row>
    <row r="7" spans="1:18" ht="26.25" thickBot="1" x14ac:dyDescent="0.3">
      <c r="A7" s="56" t="s">
        <v>168</v>
      </c>
      <c r="B7" s="58" t="s">
        <v>310</v>
      </c>
    </row>
    <row r="8" spans="1:18" ht="15.75" thickBot="1" x14ac:dyDescent="0.3">
      <c r="A8" s="59"/>
    </row>
    <row r="9" spans="1:18" ht="15.75" thickBot="1" x14ac:dyDescent="0.3">
      <c r="A9" s="176" t="s">
        <v>170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18" ht="15.75" thickBot="1" x14ac:dyDescent="0.3">
      <c r="A10" s="60" t="s">
        <v>171</v>
      </c>
      <c r="B10" s="61"/>
      <c r="C10" s="179" t="s">
        <v>172</v>
      </c>
      <c r="D10" s="180"/>
      <c r="E10" s="61"/>
      <c r="F10" s="62" t="s">
        <v>173</v>
      </c>
      <c r="G10" s="61" t="s">
        <v>255</v>
      </c>
      <c r="H10" s="179" t="s">
        <v>174</v>
      </c>
      <c r="I10" s="181"/>
      <c r="J10" s="180"/>
      <c r="K10" s="61"/>
      <c r="L10" s="63" t="s">
        <v>175</v>
      </c>
      <c r="M10" s="61"/>
      <c r="N10" s="179" t="s">
        <v>176</v>
      </c>
      <c r="O10" s="180"/>
      <c r="P10" s="61"/>
      <c r="Q10" s="182"/>
      <c r="R10" s="183"/>
    </row>
    <row r="11" spans="1:18" ht="15.75" thickBot="1" x14ac:dyDescent="0.3">
      <c r="A11" s="179" t="s">
        <v>177</v>
      </c>
      <c r="B11" s="181"/>
      <c r="C11" s="180"/>
      <c r="D11" s="179" t="s">
        <v>311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0"/>
    </row>
    <row r="12" spans="1:18" ht="15.75" thickBot="1" x14ac:dyDescent="0.3">
      <c r="A12" s="187" t="s">
        <v>179</v>
      </c>
      <c r="B12" s="188"/>
      <c r="C12" s="189"/>
      <c r="D12" s="179" t="s">
        <v>173</v>
      </c>
      <c r="E12" s="181"/>
      <c r="F12" s="181"/>
      <c r="G12" s="181"/>
      <c r="H12" s="180"/>
      <c r="I12" s="65">
        <v>0.2</v>
      </c>
      <c r="J12" s="179" t="s">
        <v>172</v>
      </c>
      <c r="K12" s="181"/>
      <c r="L12" s="180"/>
      <c r="M12" s="190">
        <v>0.15</v>
      </c>
      <c r="N12" s="191"/>
      <c r="O12" s="173" t="s">
        <v>312</v>
      </c>
      <c r="P12" s="174"/>
      <c r="Q12" s="175"/>
      <c r="R12" s="65">
        <v>0</v>
      </c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5.75" thickBot="1" x14ac:dyDescent="0.3">
      <c r="A14" s="59"/>
    </row>
    <row r="15" spans="1:18" ht="15.75" thickBot="1" x14ac:dyDescent="0.3">
      <c r="A15" s="176" t="s">
        <v>181</v>
      </c>
      <c r="B15" s="177"/>
      <c r="C15" s="177"/>
      <c r="D15" s="177"/>
      <c r="E15" s="177"/>
      <c r="F15" s="177"/>
      <c r="G15" s="178"/>
    </row>
    <row r="16" spans="1:18" ht="15.75" thickBot="1" x14ac:dyDescent="0.3">
      <c r="A16" s="184" t="s">
        <v>313</v>
      </c>
      <c r="B16" s="185"/>
      <c r="C16" s="185"/>
      <c r="D16" s="185"/>
      <c r="E16" s="185"/>
      <c r="F16" s="185"/>
      <c r="G16" s="186"/>
    </row>
    <row r="17" spans="1:9" ht="15.75" thickBot="1" x14ac:dyDescent="0.3">
      <c r="A17" s="184" t="s">
        <v>314</v>
      </c>
      <c r="B17" s="185"/>
      <c r="C17" s="185"/>
      <c r="D17" s="185"/>
      <c r="E17" s="185"/>
      <c r="F17" s="185"/>
      <c r="G17" s="186"/>
    </row>
    <row r="18" spans="1:9" ht="15.75" thickBot="1" x14ac:dyDescent="0.3">
      <c r="A18" s="184" t="s">
        <v>187</v>
      </c>
      <c r="B18" s="185"/>
      <c r="C18" s="185"/>
      <c r="D18" s="185"/>
      <c r="E18" s="185"/>
      <c r="F18" s="185"/>
      <c r="G18" s="186"/>
    </row>
    <row r="19" spans="1:9" ht="15.75" thickBot="1" x14ac:dyDescent="0.3">
      <c r="A19" s="184" t="s">
        <v>315</v>
      </c>
      <c r="B19" s="185"/>
      <c r="C19" s="185"/>
      <c r="D19" s="185"/>
      <c r="E19" s="185"/>
      <c r="F19" s="185"/>
      <c r="G19" s="186"/>
    </row>
    <row r="20" spans="1:9" ht="15.75" thickBot="1" x14ac:dyDescent="0.3">
      <c r="A20" s="184" t="s">
        <v>316</v>
      </c>
      <c r="B20" s="185"/>
      <c r="C20" s="185"/>
      <c r="D20" s="185"/>
      <c r="E20" s="185"/>
      <c r="F20" s="185"/>
      <c r="G20" s="186"/>
    </row>
    <row r="21" spans="1:9" ht="15.75" thickBot="1" x14ac:dyDescent="0.3">
      <c r="A21" s="67" t="s">
        <v>179</v>
      </c>
      <c r="B21" s="68" t="s">
        <v>190</v>
      </c>
      <c r="C21" s="65">
        <v>0.2</v>
      </c>
      <c r="D21" s="63" t="s">
        <v>191</v>
      </c>
      <c r="E21" s="65">
        <v>0.18</v>
      </c>
      <c r="F21" s="63" t="s">
        <v>192</v>
      </c>
      <c r="G21" s="65">
        <v>0.16</v>
      </c>
    </row>
    <row r="22" spans="1:9" ht="15.75" thickBot="1" x14ac:dyDescent="0.3">
      <c r="A22" s="69"/>
      <c r="B22" s="70" t="s">
        <v>193</v>
      </c>
      <c r="C22" s="65">
        <v>0.14000000000000001</v>
      </c>
      <c r="D22" s="63" t="s">
        <v>194</v>
      </c>
      <c r="E22" s="65">
        <v>0.12</v>
      </c>
      <c r="F22" s="63" t="s">
        <v>195</v>
      </c>
      <c r="G22" s="65">
        <v>0.1</v>
      </c>
    </row>
    <row r="23" spans="1:9" ht="15.75" thickBot="1" x14ac:dyDescent="0.3">
      <c r="A23" s="64"/>
      <c r="B23" s="60" t="s">
        <v>196</v>
      </c>
      <c r="C23" s="65">
        <v>0.08</v>
      </c>
      <c r="D23" s="63" t="s">
        <v>197</v>
      </c>
      <c r="E23" s="65">
        <v>0.04</v>
      </c>
      <c r="F23" s="63" t="s">
        <v>198</v>
      </c>
      <c r="G23" s="65">
        <v>0</v>
      </c>
    </row>
    <row r="24" spans="1:9" x14ac:dyDescent="0.25">
      <c r="A24" s="59"/>
    </row>
    <row r="25" spans="1:9" ht="15.75" thickBot="1" x14ac:dyDescent="0.3">
      <c r="A25" s="59"/>
    </row>
    <row r="26" spans="1:9" ht="15.75" thickBot="1" x14ac:dyDescent="0.3">
      <c r="A26" s="176" t="s">
        <v>199</v>
      </c>
      <c r="B26" s="177"/>
      <c r="C26" s="177"/>
      <c r="D26" s="177"/>
      <c r="E26" s="177"/>
      <c r="F26" s="177"/>
      <c r="G26" s="177"/>
      <c r="H26" s="177"/>
      <c r="I26" s="178"/>
    </row>
    <row r="27" spans="1:9" ht="15.75" thickBot="1" x14ac:dyDescent="0.3">
      <c r="A27" s="176" t="s">
        <v>200</v>
      </c>
      <c r="B27" s="178"/>
      <c r="C27" s="176" t="s">
        <v>201</v>
      </c>
      <c r="D27" s="177"/>
      <c r="E27" s="177"/>
      <c r="F27" s="178"/>
      <c r="G27" s="176" t="s">
        <v>202</v>
      </c>
      <c r="H27" s="177"/>
      <c r="I27" s="178"/>
    </row>
    <row r="28" spans="1:9" ht="15.75" thickBot="1" x14ac:dyDescent="0.3">
      <c r="A28" s="192" t="s">
        <v>203</v>
      </c>
      <c r="B28" s="193"/>
      <c r="C28" s="200" t="s">
        <v>267</v>
      </c>
      <c r="D28" s="201"/>
      <c r="E28" s="201"/>
      <c r="F28" s="202"/>
      <c r="G28" s="200" t="s">
        <v>317</v>
      </c>
      <c r="H28" s="201"/>
      <c r="I28" s="202"/>
    </row>
    <row r="29" spans="1:9" ht="15.75" thickBot="1" x14ac:dyDescent="0.3">
      <c r="A29" s="192" t="s">
        <v>206</v>
      </c>
      <c r="B29" s="193"/>
      <c r="C29" s="208" t="s">
        <v>269</v>
      </c>
      <c r="D29" s="209"/>
      <c r="E29" s="209"/>
      <c r="F29" s="210"/>
      <c r="G29" s="200" t="s">
        <v>318</v>
      </c>
      <c r="H29" s="201"/>
      <c r="I29" s="202"/>
    </row>
    <row r="30" spans="1:9" ht="15.75" thickBot="1" x14ac:dyDescent="0.3">
      <c r="A30" s="197" t="s">
        <v>319</v>
      </c>
      <c r="B30" s="198"/>
      <c r="C30" s="198"/>
      <c r="D30" s="198"/>
      <c r="E30" s="198"/>
      <c r="F30" s="198"/>
      <c r="G30" s="198"/>
      <c r="H30" s="198"/>
      <c r="I30" s="199"/>
    </row>
    <row r="31" spans="1:9" ht="23.25" thickBot="1" x14ac:dyDescent="0.3">
      <c r="A31" s="71" t="s">
        <v>179</v>
      </c>
      <c r="B31" s="179" t="s">
        <v>320</v>
      </c>
      <c r="C31" s="180"/>
      <c r="D31" s="65">
        <v>0.2</v>
      </c>
      <c r="E31" s="63" t="s">
        <v>321</v>
      </c>
      <c r="F31" s="190">
        <v>0.15</v>
      </c>
      <c r="G31" s="191"/>
      <c r="H31" s="63" t="s">
        <v>322</v>
      </c>
      <c r="I31" s="65">
        <v>0</v>
      </c>
    </row>
    <row r="32" spans="1:9" x14ac:dyDescent="0.25">
      <c r="A32" s="66"/>
      <c r="B32" s="66"/>
      <c r="C32" s="66"/>
      <c r="D32" s="66"/>
      <c r="E32" s="66"/>
      <c r="F32" s="66"/>
      <c r="G32" s="66"/>
      <c r="H32" s="66"/>
      <c r="I32" s="66"/>
    </row>
    <row r="33" spans="1:11" x14ac:dyDescent="0.25">
      <c r="A33" s="59"/>
    </row>
    <row r="34" spans="1:11" x14ac:dyDescent="0.25">
      <c r="A34" s="59"/>
    </row>
    <row r="35" spans="1:11" x14ac:dyDescent="0.25">
      <c r="A35" s="59"/>
    </row>
    <row r="36" spans="1:11" x14ac:dyDescent="0.25">
      <c r="A36" s="59"/>
    </row>
    <row r="37" spans="1:11" x14ac:dyDescent="0.25">
      <c r="A37" s="59"/>
    </row>
    <row r="38" spans="1:11" x14ac:dyDescent="0.25">
      <c r="A38" s="59"/>
    </row>
    <row r="39" spans="1:11" ht="15.75" thickBot="1" x14ac:dyDescent="0.3">
      <c r="A39" s="59"/>
    </row>
    <row r="40" spans="1:11" ht="15.75" thickBot="1" x14ac:dyDescent="0.3">
      <c r="A40" s="176" t="s">
        <v>215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.75" thickBot="1" x14ac:dyDescent="0.3">
      <c r="A41" s="176" t="s">
        <v>216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5.75" thickBot="1" x14ac:dyDescent="0.3">
      <c r="A42" s="73" t="s">
        <v>217</v>
      </c>
      <c r="B42" s="200" t="s">
        <v>218</v>
      </c>
      <c r="C42" s="201"/>
      <c r="D42" s="202"/>
      <c r="E42" s="200" t="s">
        <v>219</v>
      </c>
      <c r="F42" s="201"/>
      <c r="G42" s="202"/>
      <c r="H42" s="200" t="s">
        <v>220</v>
      </c>
      <c r="I42" s="201"/>
      <c r="J42" s="201"/>
      <c r="K42" s="202"/>
    </row>
    <row r="43" spans="1:11" ht="15.75" thickBot="1" x14ac:dyDescent="0.3">
      <c r="A43" s="74" t="s">
        <v>221</v>
      </c>
      <c r="B43" s="75" t="s">
        <v>222</v>
      </c>
      <c r="C43" s="76">
        <v>0.1</v>
      </c>
      <c r="D43" s="200" t="s">
        <v>223</v>
      </c>
      <c r="E43" s="202"/>
      <c r="F43" s="76">
        <v>0.06</v>
      </c>
      <c r="G43" s="75" t="s">
        <v>224</v>
      </c>
      <c r="H43" s="76">
        <v>0.04</v>
      </c>
      <c r="I43" s="200" t="s">
        <v>225</v>
      </c>
      <c r="J43" s="202"/>
      <c r="K43" s="76">
        <v>0</v>
      </c>
    </row>
    <row r="44" spans="1:11" ht="15.75" thickBot="1" x14ac:dyDescent="0.3">
      <c r="A44" s="176" t="s">
        <v>226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8"/>
    </row>
    <row r="45" spans="1:11" ht="15.75" thickBot="1" x14ac:dyDescent="0.3">
      <c r="A45" s="73" t="s">
        <v>323</v>
      </c>
      <c r="B45" s="200" t="s">
        <v>324</v>
      </c>
      <c r="C45" s="201"/>
      <c r="D45" s="202"/>
      <c r="E45" s="200" t="s">
        <v>325</v>
      </c>
      <c r="F45" s="201"/>
      <c r="G45" s="202"/>
      <c r="H45" s="173" t="s">
        <v>326</v>
      </c>
      <c r="I45" s="174"/>
      <c r="J45" s="174"/>
      <c r="K45" s="175"/>
    </row>
    <row r="46" spans="1:11" ht="15.75" thickBot="1" x14ac:dyDescent="0.3">
      <c r="A46" s="74" t="s">
        <v>221</v>
      </c>
      <c r="B46" s="75" t="s">
        <v>222</v>
      </c>
      <c r="C46" s="76">
        <v>0.1</v>
      </c>
      <c r="D46" s="200" t="s">
        <v>223</v>
      </c>
      <c r="E46" s="202"/>
      <c r="F46" s="76">
        <v>0.06</v>
      </c>
      <c r="G46" s="75" t="s">
        <v>224</v>
      </c>
      <c r="H46" s="76">
        <v>0.04</v>
      </c>
      <c r="I46" s="75" t="s">
        <v>225</v>
      </c>
      <c r="J46" s="206">
        <v>0</v>
      </c>
      <c r="K46" s="207"/>
    </row>
    <row r="47" spans="1:1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 ht="15.75" thickBot="1" x14ac:dyDescent="0.3">
      <c r="A48" s="78"/>
    </row>
    <row r="49" spans="1:2" ht="26.25" thickBot="1" x14ac:dyDescent="0.3">
      <c r="A49" s="52" t="s">
        <v>231</v>
      </c>
      <c r="B49" s="53"/>
    </row>
    <row r="50" spans="1:2" ht="15.75" thickBot="1" x14ac:dyDescent="0.3">
      <c r="A50" s="78"/>
    </row>
    <row r="51" spans="1:2" ht="15.75" thickBot="1" x14ac:dyDescent="0.3">
      <c r="A51" s="176" t="s">
        <v>232</v>
      </c>
      <c r="B51" s="178"/>
    </row>
    <row r="52" spans="1:2" ht="15.75" thickBot="1" x14ac:dyDescent="0.3">
      <c r="A52" s="79" t="s">
        <v>233</v>
      </c>
      <c r="B52" s="80" t="s">
        <v>234</v>
      </c>
    </row>
    <row r="53" spans="1:2" ht="24" x14ac:dyDescent="0.25">
      <c r="A53" s="203" t="s">
        <v>327</v>
      </c>
      <c r="B53" s="88" t="s">
        <v>328</v>
      </c>
    </row>
    <row r="54" spans="1:2" ht="36" x14ac:dyDescent="0.25">
      <c r="A54" s="204"/>
      <c r="B54" s="88" t="s">
        <v>329</v>
      </c>
    </row>
    <row r="55" spans="1:2" ht="24" x14ac:dyDescent="0.25">
      <c r="A55" s="204"/>
      <c r="B55" s="88" t="s">
        <v>330</v>
      </c>
    </row>
    <row r="56" spans="1:2" ht="36" x14ac:dyDescent="0.25">
      <c r="A56" s="204"/>
      <c r="B56" s="88" t="s">
        <v>331</v>
      </c>
    </row>
    <row r="57" spans="1:2" ht="48" x14ac:dyDescent="0.25">
      <c r="A57" s="204"/>
      <c r="B57" s="88" t="s">
        <v>332</v>
      </c>
    </row>
    <row r="58" spans="1:2" ht="36" x14ac:dyDescent="0.25">
      <c r="A58" s="204"/>
      <c r="B58" s="88" t="s">
        <v>333</v>
      </c>
    </row>
    <row r="59" spans="1:2" ht="36" x14ac:dyDescent="0.25">
      <c r="A59" s="204"/>
      <c r="B59" s="88" t="s">
        <v>334</v>
      </c>
    </row>
    <row r="60" spans="1:2" ht="24" x14ac:dyDescent="0.25">
      <c r="A60" s="204"/>
      <c r="B60" s="88" t="s">
        <v>335</v>
      </c>
    </row>
    <row r="61" spans="1:2" ht="36" x14ac:dyDescent="0.25">
      <c r="A61" s="204"/>
      <c r="B61" s="88" t="s">
        <v>336</v>
      </c>
    </row>
    <row r="62" spans="1:2" ht="24" x14ac:dyDescent="0.25">
      <c r="A62" s="204"/>
      <c r="B62" s="88" t="s">
        <v>337</v>
      </c>
    </row>
    <row r="63" spans="1:2" ht="36" x14ac:dyDescent="0.25">
      <c r="A63" s="204"/>
      <c r="B63" s="88" t="s">
        <v>338</v>
      </c>
    </row>
    <row r="64" spans="1:2" ht="24" x14ac:dyDescent="0.25">
      <c r="A64" s="204"/>
      <c r="B64" s="88" t="s">
        <v>339</v>
      </c>
    </row>
    <row r="65" spans="1:2" ht="24" x14ac:dyDescent="0.25">
      <c r="A65" s="204"/>
      <c r="B65" s="88" t="s">
        <v>340</v>
      </c>
    </row>
    <row r="66" spans="1:2" ht="24" x14ac:dyDescent="0.25">
      <c r="A66" s="204"/>
      <c r="B66" s="88" t="s">
        <v>341</v>
      </c>
    </row>
    <row r="67" spans="1:2" x14ac:dyDescent="0.25">
      <c r="A67" s="204"/>
      <c r="B67" s="88" t="s">
        <v>342</v>
      </c>
    </row>
    <row r="68" spans="1:2" ht="36" x14ac:dyDescent="0.25">
      <c r="A68" s="204"/>
      <c r="B68" s="88" t="s">
        <v>343</v>
      </c>
    </row>
    <row r="69" spans="1:2" ht="48" x14ac:dyDescent="0.25">
      <c r="A69" s="204"/>
      <c r="B69" s="88" t="s">
        <v>344</v>
      </c>
    </row>
    <row r="70" spans="1:2" ht="24.75" thickBot="1" x14ac:dyDescent="0.3">
      <c r="A70" s="205"/>
      <c r="B70" s="89" t="s">
        <v>345</v>
      </c>
    </row>
    <row r="71" spans="1:2" ht="24.75" thickBot="1" x14ac:dyDescent="0.3">
      <c r="A71" s="85" t="s">
        <v>346</v>
      </c>
      <c r="B71" s="89" t="s">
        <v>347</v>
      </c>
    </row>
    <row r="72" spans="1:2" ht="24.75" thickBot="1" x14ac:dyDescent="0.3">
      <c r="A72" s="85" t="s">
        <v>348</v>
      </c>
      <c r="B72" s="89" t="s">
        <v>349</v>
      </c>
    </row>
    <row r="73" spans="1:2" ht="36" x14ac:dyDescent="0.25">
      <c r="A73" s="203" t="s">
        <v>350</v>
      </c>
      <c r="B73" s="88" t="s">
        <v>351</v>
      </c>
    </row>
    <row r="74" spans="1:2" ht="36" x14ac:dyDescent="0.25">
      <c r="A74" s="204"/>
      <c r="B74" s="88" t="s">
        <v>352</v>
      </c>
    </row>
    <row r="75" spans="1:2" ht="24.75" thickBot="1" x14ac:dyDescent="0.3">
      <c r="A75" s="205"/>
      <c r="B75" s="89" t="s">
        <v>353</v>
      </c>
    </row>
    <row r="76" spans="1:2" ht="24" x14ac:dyDescent="0.25">
      <c r="A76" s="203" t="s">
        <v>354</v>
      </c>
      <c r="B76" s="88" t="s">
        <v>355</v>
      </c>
    </row>
    <row r="77" spans="1:2" ht="24.75" thickBot="1" x14ac:dyDescent="0.3">
      <c r="A77" s="205"/>
      <c r="B77" s="89" t="s">
        <v>356</v>
      </c>
    </row>
  </sheetData>
  <mergeCells count="48">
    <mergeCell ref="A51:B51"/>
    <mergeCell ref="A53:A70"/>
    <mergeCell ref="A73:A75"/>
    <mergeCell ref="A76:A77"/>
    <mergeCell ref="A44:K44"/>
    <mergeCell ref="B45:D45"/>
    <mergeCell ref="E45:G45"/>
    <mergeCell ref="H45:K45"/>
    <mergeCell ref="D46:E46"/>
    <mergeCell ref="J46:K46"/>
    <mergeCell ref="D43:E43"/>
    <mergeCell ref="I43:J43"/>
    <mergeCell ref="A29:B29"/>
    <mergeCell ref="C29:F29"/>
    <mergeCell ref="G29:I29"/>
    <mergeCell ref="A30:I30"/>
    <mergeCell ref="B31:C31"/>
    <mergeCell ref="F31:G31"/>
    <mergeCell ref="A40:K40"/>
    <mergeCell ref="A41:K41"/>
    <mergeCell ref="B42:D42"/>
    <mergeCell ref="E42:G42"/>
    <mergeCell ref="H42:K42"/>
    <mergeCell ref="A27:B27"/>
    <mergeCell ref="C27:F27"/>
    <mergeCell ref="G27:I27"/>
    <mergeCell ref="A28:B28"/>
    <mergeCell ref="C28:F28"/>
    <mergeCell ref="G28:I28"/>
    <mergeCell ref="A26:I26"/>
    <mergeCell ref="A12:C12"/>
    <mergeCell ref="D12:H12"/>
    <mergeCell ref="J12:L12"/>
    <mergeCell ref="M12:N12"/>
    <mergeCell ref="A16:G16"/>
    <mergeCell ref="A17:G17"/>
    <mergeCell ref="A18:G18"/>
    <mergeCell ref="A19:G19"/>
    <mergeCell ref="A20:G20"/>
    <mergeCell ref="O12:Q12"/>
    <mergeCell ref="A15:G15"/>
    <mergeCell ref="A9:R9"/>
    <mergeCell ref="C10:D10"/>
    <mergeCell ref="H10:J10"/>
    <mergeCell ref="N10:O10"/>
    <mergeCell ref="Q10:R10"/>
    <mergeCell ref="A11:C11"/>
    <mergeCell ref="D11:R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77"/>
  <sheetViews>
    <sheetView topLeftCell="A10" workbookViewId="0">
      <selection activeCell="M100" sqref="M100"/>
    </sheetView>
  </sheetViews>
  <sheetFormatPr baseColWidth="10" defaultRowHeight="15" x14ac:dyDescent="0.25"/>
  <cols>
    <col min="1" max="1" width="27.7109375" customWidth="1"/>
    <col min="2" max="2" width="27.85546875" customWidth="1"/>
  </cols>
  <sheetData>
    <row r="1" spans="1:18" ht="15.75" thickBot="1" x14ac:dyDescent="0.3"/>
    <row r="2" spans="1:18" ht="39" thickBot="1" x14ac:dyDescent="0.3">
      <c r="A2" s="52" t="s">
        <v>162</v>
      </c>
      <c r="B2" s="53"/>
    </row>
    <row r="3" spans="1:18" ht="15.75" thickBot="1" x14ac:dyDescent="0.3">
      <c r="A3" s="55"/>
      <c r="B3" s="54"/>
    </row>
    <row r="4" spans="1:18" ht="39" thickBot="1" x14ac:dyDescent="0.3">
      <c r="A4" s="56" t="s">
        <v>163</v>
      </c>
      <c r="B4" s="57" t="s">
        <v>357</v>
      </c>
    </row>
    <row r="5" spans="1:18" ht="36.75" thickBot="1" x14ac:dyDescent="0.3">
      <c r="A5" s="56" t="s">
        <v>164</v>
      </c>
      <c r="B5" s="58" t="s">
        <v>358</v>
      </c>
    </row>
    <row r="6" spans="1:18" ht="51.75" thickBot="1" x14ac:dyDescent="0.3">
      <c r="A6" s="56" t="s">
        <v>166</v>
      </c>
      <c r="B6" s="58" t="s">
        <v>359</v>
      </c>
    </row>
    <row r="7" spans="1:18" ht="26.25" thickBot="1" x14ac:dyDescent="0.3">
      <c r="A7" s="56" t="s">
        <v>168</v>
      </c>
      <c r="B7" s="58" t="s">
        <v>310</v>
      </c>
    </row>
    <row r="8" spans="1:18" ht="15.75" thickBot="1" x14ac:dyDescent="0.3">
      <c r="A8" s="59"/>
    </row>
    <row r="9" spans="1:18" ht="15.75" thickBot="1" x14ac:dyDescent="0.3">
      <c r="A9" s="176" t="s">
        <v>170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18" ht="15.75" thickBot="1" x14ac:dyDescent="0.3">
      <c r="A10" s="60" t="s">
        <v>171</v>
      </c>
      <c r="B10" s="61"/>
      <c r="C10" s="179" t="s">
        <v>172</v>
      </c>
      <c r="D10" s="180"/>
      <c r="E10" s="61"/>
      <c r="F10" s="62" t="s">
        <v>173</v>
      </c>
      <c r="G10" s="61" t="s">
        <v>62</v>
      </c>
      <c r="H10" s="179" t="s">
        <v>174</v>
      </c>
      <c r="I10" s="181"/>
      <c r="J10" s="180"/>
      <c r="K10" s="61"/>
      <c r="L10" s="63" t="s">
        <v>175</v>
      </c>
      <c r="M10" s="61"/>
      <c r="N10" s="179" t="s">
        <v>176</v>
      </c>
      <c r="O10" s="180"/>
      <c r="P10" s="61"/>
      <c r="Q10" s="182"/>
      <c r="R10" s="183"/>
    </row>
    <row r="11" spans="1:18" ht="15.75" thickBot="1" x14ac:dyDescent="0.3">
      <c r="A11" s="179" t="s">
        <v>177</v>
      </c>
      <c r="B11" s="181"/>
      <c r="C11" s="180"/>
      <c r="D11" s="179" t="s">
        <v>360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0"/>
    </row>
    <row r="12" spans="1:18" ht="15.75" thickBot="1" x14ac:dyDescent="0.3">
      <c r="A12" s="187" t="s">
        <v>179</v>
      </c>
      <c r="B12" s="188"/>
      <c r="C12" s="189"/>
      <c r="D12" s="179" t="s">
        <v>361</v>
      </c>
      <c r="E12" s="181"/>
      <c r="F12" s="181"/>
      <c r="G12" s="181"/>
      <c r="H12" s="180"/>
      <c r="I12" s="65">
        <v>0.2</v>
      </c>
      <c r="J12" s="179" t="s">
        <v>172</v>
      </c>
      <c r="K12" s="181"/>
      <c r="L12" s="180"/>
      <c r="M12" s="190">
        <v>0.1</v>
      </c>
      <c r="N12" s="191"/>
      <c r="O12" s="179" t="s">
        <v>362</v>
      </c>
      <c r="P12" s="181"/>
      <c r="Q12" s="180"/>
      <c r="R12" s="65">
        <v>0</v>
      </c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5.75" thickBot="1" x14ac:dyDescent="0.3">
      <c r="A14" s="59"/>
    </row>
    <row r="15" spans="1:18" ht="15.75" thickBot="1" x14ac:dyDescent="0.3">
      <c r="A15" s="176" t="s">
        <v>181</v>
      </c>
      <c r="B15" s="177"/>
      <c r="C15" s="177"/>
      <c r="D15" s="177"/>
      <c r="E15" s="177"/>
      <c r="F15" s="177"/>
      <c r="G15" s="178"/>
    </row>
    <row r="16" spans="1:18" ht="15.75" thickBot="1" x14ac:dyDescent="0.3">
      <c r="A16" s="184" t="s">
        <v>363</v>
      </c>
      <c r="B16" s="185"/>
      <c r="C16" s="185"/>
      <c r="D16" s="185"/>
      <c r="E16" s="185"/>
      <c r="F16" s="185"/>
      <c r="G16" s="186"/>
    </row>
    <row r="17" spans="1:9" ht="15.75" thickBot="1" x14ac:dyDescent="0.3">
      <c r="A17" s="184" t="s">
        <v>364</v>
      </c>
      <c r="B17" s="185"/>
      <c r="C17" s="185"/>
      <c r="D17" s="185"/>
      <c r="E17" s="185"/>
      <c r="F17" s="185"/>
      <c r="G17" s="186"/>
    </row>
    <row r="18" spans="1:9" ht="15.75" thickBot="1" x14ac:dyDescent="0.3">
      <c r="A18" s="184" t="s">
        <v>365</v>
      </c>
      <c r="B18" s="185"/>
      <c r="C18" s="185"/>
      <c r="D18" s="185"/>
      <c r="E18" s="185"/>
      <c r="F18" s="185"/>
      <c r="G18" s="186"/>
    </row>
    <row r="19" spans="1:9" ht="15.75" thickBot="1" x14ac:dyDescent="0.3">
      <c r="A19" s="184" t="s">
        <v>366</v>
      </c>
      <c r="B19" s="185"/>
      <c r="C19" s="185"/>
      <c r="D19" s="185"/>
      <c r="E19" s="185"/>
      <c r="F19" s="185"/>
      <c r="G19" s="186"/>
    </row>
    <row r="20" spans="1:9" ht="15.75" thickBot="1" x14ac:dyDescent="0.3">
      <c r="A20" s="184" t="s">
        <v>367</v>
      </c>
      <c r="B20" s="185"/>
      <c r="C20" s="185"/>
      <c r="D20" s="185"/>
      <c r="E20" s="185"/>
      <c r="F20" s="185"/>
      <c r="G20" s="186"/>
    </row>
    <row r="21" spans="1:9" ht="15.75" thickBot="1" x14ac:dyDescent="0.3">
      <c r="A21" s="67" t="s">
        <v>179</v>
      </c>
      <c r="B21" s="68" t="s">
        <v>368</v>
      </c>
      <c r="C21" s="65">
        <v>0.2</v>
      </c>
      <c r="D21" s="63" t="s">
        <v>194</v>
      </c>
      <c r="E21" s="65">
        <v>0.15</v>
      </c>
      <c r="F21" s="63" t="s">
        <v>195</v>
      </c>
      <c r="G21" s="65">
        <v>0.1</v>
      </c>
    </row>
    <row r="22" spans="1:9" ht="23.25" thickBot="1" x14ac:dyDescent="0.3">
      <c r="A22" s="69"/>
      <c r="B22" s="70" t="s">
        <v>196</v>
      </c>
      <c r="C22" s="65">
        <v>0.05</v>
      </c>
      <c r="D22" s="63" t="s">
        <v>369</v>
      </c>
      <c r="E22" s="65">
        <v>0</v>
      </c>
      <c r="F22" s="63"/>
      <c r="G22" s="72"/>
    </row>
    <row r="23" spans="1:9" x14ac:dyDescent="0.25">
      <c r="A23" s="59"/>
    </row>
    <row r="24" spans="1:9" ht="15.75" thickBot="1" x14ac:dyDescent="0.3">
      <c r="A24" s="59"/>
    </row>
    <row r="25" spans="1:9" ht="15.75" thickBot="1" x14ac:dyDescent="0.3">
      <c r="A25" s="176" t="s">
        <v>199</v>
      </c>
      <c r="B25" s="177"/>
      <c r="C25" s="177"/>
      <c r="D25" s="177"/>
      <c r="E25" s="177"/>
      <c r="F25" s="177"/>
      <c r="G25" s="177"/>
      <c r="H25" s="177"/>
      <c r="I25" s="178"/>
    </row>
    <row r="26" spans="1:9" ht="15.75" thickBot="1" x14ac:dyDescent="0.3">
      <c r="A26" s="176" t="s">
        <v>200</v>
      </c>
      <c r="B26" s="178"/>
      <c r="C26" s="176" t="s">
        <v>201</v>
      </c>
      <c r="D26" s="177"/>
      <c r="E26" s="177"/>
      <c r="F26" s="178"/>
      <c r="G26" s="176" t="s">
        <v>202</v>
      </c>
      <c r="H26" s="177"/>
      <c r="I26" s="178"/>
    </row>
    <row r="27" spans="1:9" ht="15.75" thickBot="1" x14ac:dyDescent="0.3">
      <c r="A27" s="192" t="s">
        <v>203</v>
      </c>
      <c r="B27" s="193"/>
      <c r="C27" s="200" t="s">
        <v>267</v>
      </c>
      <c r="D27" s="201"/>
      <c r="E27" s="201"/>
      <c r="F27" s="202"/>
      <c r="G27" s="200" t="s">
        <v>370</v>
      </c>
      <c r="H27" s="201"/>
      <c r="I27" s="202"/>
    </row>
    <row r="28" spans="1:9" ht="15.75" thickBot="1" x14ac:dyDescent="0.3">
      <c r="A28" s="192" t="s">
        <v>206</v>
      </c>
      <c r="B28" s="193"/>
      <c r="C28" s="208" t="s">
        <v>269</v>
      </c>
      <c r="D28" s="209"/>
      <c r="E28" s="209"/>
      <c r="F28" s="210"/>
      <c r="G28" s="200" t="s">
        <v>371</v>
      </c>
      <c r="H28" s="201"/>
      <c r="I28" s="202"/>
    </row>
    <row r="29" spans="1:9" ht="15.75" thickBot="1" x14ac:dyDescent="0.3">
      <c r="A29" s="197" t="s">
        <v>209</v>
      </c>
      <c r="B29" s="198"/>
      <c r="C29" s="198"/>
      <c r="D29" s="198"/>
      <c r="E29" s="198"/>
      <c r="F29" s="198"/>
      <c r="G29" s="198"/>
      <c r="H29" s="198"/>
      <c r="I29" s="199"/>
    </row>
    <row r="30" spans="1:9" ht="23.25" thickBot="1" x14ac:dyDescent="0.3">
      <c r="A30" s="67" t="s">
        <v>179</v>
      </c>
      <c r="B30" s="179" t="s">
        <v>320</v>
      </c>
      <c r="C30" s="180"/>
      <c r="D30" s="65">
        <v>0.2</v>
      </c>
      <c r="E30" s="63" t="s">
        <v>321</v>
      </c>
      <c r="F30" s="190">
        <v>0.15</v>
      </c>
      <c r="G30" s="191"/>
      <c r="H30" s="63" t="s">
        <v>372</v>
      </c>
      <c r="I30" s="65">
        <v>0.1</v>
      </c>
    </row>
    <row r="31" spans="1:9" ht="15.75" thickBot="1" x14ac:dyDescent="0.3">
      <c r="A31" s="69"/>
      <c r="B31" s="179" t="s">
        <v>373</v>
      </c>
      <c r="C31" s="180"/>
      <c r="D31" s="65">
        <v>0</v>
      </c>
      <c r="E31" s="63"/>
      <c r="F31" s="211"/>
      <c r="G31" s="212"/>
      <c r="H31" s="63"/>
      <c r="I31" s="72"/>
    </row>
    <row r="32" spans="1:9" x14ac:dyDescent="0.25">
      <c r="A32" s="66"/>
      <c r="B32" s="66"/>
      <c r="C32" s="66"/>
      <c r="D32" s="66"/>
      <c r="E32" s="66"/>
      <c r="F32" s="66"/>
      <c r="G32" s="66"/>
      <c r="H32" s="66"/>
      <c r="I32" s="66"/>
    </row>
    <row r="33" spans="1:11" x14ac:dyDescent="0.25">
      <c r="A33" s="59"/>
    </row>
    <row r="34" spans="1:11" x14ac:dyDescent="0.25">
      <c r="A34" s="59"/>
    </row>
    <row r="35" spans="1:11" x14ac:dyDescent="0.25">
      <c r="A35" s="59"/>
    </row>
    <row r="36" spans="1:11" x14ac:dyDescent="0.25">
      <c r="A36" s="59"/>
    </row>
    <row r="37" spans="1:11" x14ac:dyDescent="0.25">
      <c r="A37" s="59"/>
    </row>
    <row r="38" spans="1:11" x14ac:dyDescent="0.25">
      <c r="A38" s="59"/>
    </row>
    <row r="39" spans="1:11" x14ac:dyDescent="0.25">
      <c r="A39" s="59"/>
    </row>
    <row r="40" spans="1:11" x14ac:dyDescent="0.25">
      <c r="A40" s="59"/>
    </row>
    <row r="41" spans="1:11" ht="15.75" thickBot="1" x14ac:dyDescent="0.3">
      <c r="A41" s="59"/>
    </row>
    <row r="42" spans="1:11" ht="15.75" thickBot="1" x14ac:dyDescent="0.3">
      <c r="A42" s="176" t="s">
        <v>215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.75" thickBot="1" x14ac:dyDescent="0.3">
      <c r="A43" s="176" t="s">
        <v>216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5.75" thickBot="1" x14ac:dyDescent="0.3">
      <c r="A44" s="73" t="s">
        <v>217</v>
      </c>
      <c r="B44" s="200" t="s">
        <v>218</v>
      </c>
      <c r="C44" s="201"/>
      <c r="D44" s="202"/>
      <c r="E44" s="200" t="s">
        <v>219</v>
      </c>
      <c r="F44" s="201"/>
      <c r="G44" s="202"/>
      <c r="H44" s="200" t="s">
        <v>220</v>
      </c>
      <c r="I44" s="201"/>
      <c r="J44" s="201"/>
      <c r="K44" s="202"/>
    </row>
    <row r="45" spans="1:11" ht="15.75" thickBot="1" x14ac:dyDescent="0.3">
      <c r="A45" s="74" t="s">
        <v>221</v>
      </c>
      <c r="B45" s="75" t="s">
        <v>222</v>
      </c>
      <c r="C45" s="76">
        <v>0.1</v>
      </c>
      <c r="D45" s="200" t="s">
        <v>223</v>
      </c>
      <c r="E45" s="202"/>
      <c r="F45" s="76">
        <v>0.06</v>
      </c>
      <c r="G45" s="75" t="s">
        <v>224</v>
      </c>
      <c r="H45" s="76">
        <v>0.04</v>
      </c>
      <c r="I45" s="200" t="s">
        <v>225</v>
      </c>
      <c r="J45" s="202"/>
      <c r="K45" s="76">
        <v>0</v>
      </c>
    </row>
    <row r="46" spans="1:11" ht="15.75" thickBot="1" x14ac:dyDescent="0.3">
      <c r="A46" s="176" t="s">
        <v>226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8"/>
    </row>
    <row r="47" spans="1:11" ht="15.75" thickBot="1" x14ac:dyDescent="0.3">
      <c r="A47" s="73" t="s">
        <v>323</v>
      </c>
      <c r="B47" s="200" t="s">
        <v>374</v>
      </c>
      <c r="C47" s="201"/>
      <c r="D47" s="202"/>
      <c r="E47" s="173" t="s">
        <v>375</v>
      </c>
      <c r="F47" s="174"/>
      <c r="G47" s="175"/>
      <c r="H47" s="200" t="s">
        <v>376</v>
      </c>
      <c r="I47" s="201"/>
      <c r="J47" s="201"/>
      <c r="K47" s="202"/>
    </row>
    <row r="48" spans="1:11" ht="15.75" thickBot="1" x14ac:dyDescent="0.3">
      <c r="A48" s="74" t="s">
        <v>221</v>
      </c>
      <c r="B48" s="75" t="s">
        <v>222</v>
      </c>
      <c r="C48" s="76">
        <v>0.1</v>
      </c>
      <c r="D48" s="200" t="s">
        <v>223</v>
      </c>
      <c r="E48" s="202"/>
      <c r="F48" s="76">
        <v>0.06</v>
      </c>
      <c r="G48" s="75" t="s">
        <v>224</v>
      </c>
      <c r="H48" s="76">
        <v>0.04</v>
      </c>
      <c r="I48" s="75" t="s">
        <v>225</v>
      </c>
      <c r="J48" s="206">
        <v>0</v>
      </c>
      <c r="K48" s="207"/>
    </row>
    <row r="49" spans="1:1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78"/>
    </row>
    <row r="51" spans="1:11" ht="15.75" thickBot="1" x14ac:dyDescent="0.3">
      <c r="A51" s="78"/>
    </row>
    <row r="52" spans="1:11" ht="24.75" thickBot="1" x14ac:dyDescent="0.3">
      <c r="A52" s="52" t="s">
        <v>231</v>
      </c>
      <c r="B52" s="53"/>
    </row>
    <row r="53" spans="1:11" ht="15.75" thickBot="1" x14ac:dyDescent="0.3">
      <c r="A53" s="78"/>
    </row>
    <row r="54" spans="1:11" ht="15.75" thickBot="1" x14ac:dyDescent="0.3">
      <c r="A54" s="176" t="s">
        <v>232</v>
      </c>
      <c r="B54" s="178"/>
    </row>
    <row r="55" spans="1:11" ht="15.75" thickBot="1" x14ac:dyDescent="0.3">
      <c r="A55" s="79" t="s">
        <v>233</v>
      </c>
      <c r="B55" s="80" t="s">
        <v>234</v>
      </c>
    </row>
    <row r="56" spans="1:11" ht="48" x14ac:dyDescent="0.25">
      <c r="A56" s="213" t="s">
        <v>350</v>
      </c>
      <c r="B56" s="88" t="s">
        <v>377</v>
      </c>
    </row>
    <row r="57" spans="1:11" ht="36" x14ac:dyDescent="0.25">
      <c r="A57" s="214"/>
      <c r="B57" s="88" t="s">
        <v>378</v>
      </c>
    </row>
    <row r="58" spans="1:11" ht="36" x14ac:dyDescent="0.25">
      <c r="A58" s="214"/>
      <c r="B58" s="88" t="s">
        <v>379</v>
      </c>
    </row>
    <row r="59" spans="1:11" ht="36" x14ac:dyDescent="0.25">
      <c r="A59" s="214"/>
      <c r="B59" s="88" t="s">
        <v>380</v>
      </c>
    </row>
    <row r="60" spans="1:11" ht="24" x14ac:dyDescent="0.25">
      <c r="A60" s="214"/>
      <c r="B60" s="88" t="s">
        <v>381</v>
      </c>
    </row>
    <row r="61" spans="1:11" ht="84" x14ac:dyDescent="0.25">
      <c r="A61" s="214"/>
      <c r="B61" s="88" t="s">
        <v>382</v>
      </c>
    </row>
    <row r="62" spans="1:11" ht="36" x14ac:dyDescent="0.25">
      <c r="A62" s="214"/>
      <c r="B62" s="88" t="s">
        <v>383</v>
      </c>
    </row>
    <row r="63" spans="1:11" ht="60" x14ac:dyDescent="0.25">
      <c r="A63" s="214"/>
      <c r="B63" s="88" t="s">
        <v>384</v>
      </c>
    </row>
    <row r="64" spans="1:11" ht="24" x14ac:dyDescent="0.25">
      <c r="A64" s="214"/>
      <c r="B64" s="88" t="s">
        <v>385</v>
      </c>
    </row>
    <row r="65" spans="1:2" ht="24" x14ac:dyDescent="0.25">
      <c r="A65" s="214"/>
      <c r="B65" s="88" t="s">
        <v>386</v>
      </c>
    </row>
    <row r="66" spans="1:2" ht="48" x14ac:dyDescent="0.25">
      <c r="A66" s="214"/>
      <c r="B66" s="88" t="s">
        <v>387</v>
      </c>
    </row>
    <row r="67" spans="1:2" ht="36" x14ac:dyDescent="0.25">
      <c r="A67" s="214"/>
      <c r="B67" s="88" t="s">
        <v>388</v>
      </c>
    </row>
    <row r="68" spans="1:2" ht="36.75" thickBot="1" x14ac:dyDescent="0.3">
      <c r="A68" s="215"/>
      <c r="B68" s="89" t="s">
        <v>389</v>
      </c>
    </row>
    <row r="69" spans="1:2" ht="48" x14ac:dyDescent="0.25">
      <c r="A69" s="213" t="s">
        <v>348</v>
      </c>
      <c r="B69" s="88" t="s">
        <v>390</v>
      </c>
    </row>
    <row r="70" spans="1:2" ht="24.75" thickBot="1" x14ac:dyDescent="0.3">
      <c r="A70" s="215"/>
      <c r="B70" s="89" t="s">
        <v>391</v>
      </c>
    </row>
    <row r="71" spans="1:2" ht="48" x14ac:dyDescent="0.25">
      <c r="A71" s="213" t="s">
        <v>392</v>
      </c>
      <c r="B71" s="81" t="s">
        <v>393</v>
      </c>
    </row>
    <row r="72" spans="1:2" ht="24" x14ac:dyDescent="0.25">
      <c r="A72" s="214"/>
      <c r="B72" s="88" t="s">
        <v>394</v>
      </c>
    </row>
    <row r="73" spans="1:2" ht="36.75" thickBot="1" x14ac:dyDescent="0.3">
      <c r="A73" s="215"/>
      <c r="B73" s="89" t="s">
        <v>395</v>
      </c>
    </row>
    <row r="74" spans="1:2" ht="36" x14ac:dyDescent="0.25">
      <c r="A74" s="203" t="s">
        <v>249</v>
      </c>
      <c r="B74" s="81" t="s">
        <v>396</v>
      </c>
    </row>
    <row r="75" spans="1:2" ht="24" x14ac:dyDescent="0.25">
      <c r="A75" s="204"/>
      <c r="B75" s="81" t="s">
        <v>397</v>
      </c>
    </row>
    <row r="76" spans="1:2" ht="36.75" thickBot="1" x14ac:dyDescent="0.3">
      <c r="A76" s="205"/>
      <c r="B76" s="84" t="s">
        <v>398</v>
      </c>
    </row>
    <row r="77" spans="1:2" ht="26.25" thickBot="1" x14ac:dyDescent="0.3">
      <c r="A77" s="85" t="s">
        <v>235</v>
      </c>
      <c r="B77" s="84" t="s">
        <v>399</v>
      </c>
    </row>
  </sheetData>
  <mergeCells count="51">
    <mergeCell ref="A74:A76"/>
    <mergeCell ref="D48:E48"/>
    <mergeCell ref="J48:K48"/>
    <mergeCell ref="A54:B54"/>
    <mergeCell ref="A56:A68"/>
    <mergeCell ref="A69:A70"/>
    <mergeCell ref="A71:A73"/>
    <mergeCell ref="D45:E45"/>
    <mergeCell ref="I45:J45"/>
    <mergeCell ref="A46:K46"/>
    <mergeCell ref="B47:D47"/>
    <mergeCell ref="E47:G47"/>
    <mergeCell ref="H47:K47"/>
    <mergeCell ref="B31:C31"/>
    <mergeCell ref="F31:G31"/>
    <mergeCell ref="A42:K42"/>
    <mergeCell ref="A43:K43"/>
    <mergeCell ref="B44:D44"/>
    <mergeCell ref="E44:G44"/>
    <mergeCell ref="H44:K44"/>
    <mergeCell ref="A28:B28"/>
    <mergeCell ref="C28:F28"/>
    <mergeCell ref="G28:I28"/>
    <mergeCell ref="A29:I29"/>
    <mergeCell ref="B30:C30"/>
    <mergeCell ref="F30:G30"/>
    <mergeCell ref="A26:B26"/>
    <mergeCell ref="C26:F26"/>
    <mergeCell ref="G26:I26"/>
    <mergeCell ref="A27:B27"/>
    <mergeCell ref="C27:F27"/>
    <mergeCell ref="G27:I27"/>
    <mergeCell ref="A25:I25"/>
    <mergeCell ref="A12:C12"/>
    <mergeCell ref="D12:H12"/>
    <mergeCell ref="J12:L12"/>
    <mergeCell ref="M12:N12"/>
    <mergeCell ref="A16:G16"/>
    <mergeCell ref="A17:G17"/>
    <mergeCell ref="A18:G18"/>
    <mergeCell ref="A19:G19"/>
    <mergeCell ref="A20:G20"/>
    <mergeCell ref="O12:Q12"/>
    <mergeCell ref="A15:G15"/>
    <mergeCell ref="A9:R9"/>
    <mergeCell ref="C10:D10"/>
    <mergeCell ref="H10:J10"/>
    <mergeCell ref="N10:O10"/>
    <mergeCell ref="Q10:R10"/>
    <mergeCell ref="A11:C11"/>
    <mergeCell ref="D11:R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R65"/>
  <sheetViews>
    <sheetView topLeftCell="A13" workbookViewId="0">
      <selection activeCell="L27" sqref="L27"/>
    </sheetView>
  </sheetViews>
  <sheetFormatPr baseColWidth="10" defaultRowHeight="15" x14ac:dyDescent="0.25"/>
  <cols>
    <col min="1" max="1" width="17.7109375" customWidth="1"/>
    <col min="2" max="2" width="27.7109375" customWidth="1"/>
  </cols>
  <sheetData>
    <row r="1" spans="1:18" ht="15.75" thickBot="1" x14ac:dyDescent="0.3"/>
    <row r="2" spans="1:18" ht="39" thickBot="1" x14ac:dyDescent="0.3">
      <c r="A2" s="52" t="s">
        <v>162</v>
      </c>
      <c r="B2" s="53"/>
    </row>
    <row r="3" spans="1:18" ht="15.75" thickBot="1" x14ac:dyDescent="0.3">
      <c r="A3" s="55"/>
      <c r="B3" s="54"/>
    </row>
    <row r="4" spans="1:18" ht="15.75" thickBot="1" x14ac:dyDescent="0.3">
      <c r="A4" s="56" t="s">
        <v>163</v>
      </c>
      <c r="B4" s="57" t="s">
        <v>400</v>
      </c>
    </row>
    <row r="5" spans="1:18" ht="48.75" thickBot="1" x14ac:dyDescent="0.3">
      <c r="A5" s="56" t="s">
        <v>164</v>
      </c>
      <c r="B5" s="58" t="s">
        <v>401</v>
      </c>
    </row>
    <row r="6" spans="1:18" ht="26.25" thickBot="1" x14ac:dyDescent="0.3">
      <c r="A6" s="56" t="s">
        <v>166</v>
      </c>
      <c r="B6" s="58" t="s">
        <v>402</v>
      </c>
    </row>
    <row r="7" spans="1:18" ht="26.25" thickBot="1" x14ac:dyDescent="0.3">
      <c r="A7" s="56" t="s">
        <v>168</v>
      </c>
      <c r="B7" s="58" t="s">
        <v>403</v>
      </c>
    </row>
    <row r="8" spans="1:18" ht="15.75" thickBot="1" x14ac:dyDescent="0.3">
      <c r="A8" s="59"/>
    </row>
    <row r="9" spans="1:18" ht="15.75" thickBot="1" x14ac:dyDescent="0.3">
      <c r="A9" s="176" t="s">
        <v>170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18" ht="15.75" thickBot="1" x14ac:dyDescent="0.3">
      <c r="A10" s="60" t="s">
        <v>404</v>
      </c>
      <c r="B10" s="61"/>
      <c r="C10" s="63" t="s">
        <v>171</v>
      </c>
      <c r="D10" s="61"/>
      <c r="E10" s="63" t="s">
        <v>172</v>
      </c>
      <c r="F10" s="61" t="s">
        <v>255</v>
      </c>
      <c r="G10" s="173" t="s">
        <v>173</v>
      </c>
      <c r="H10" s="175"/>
      <c r="I10" s="187"/>
      <c r="J10" s="189"/>
      <c r="K10" s="63" t="s">
        <v>174</v>
      </c>
      <c r="L10" s="61"/>
      <c r="M10" s="179" t="s">
        <v>175</v>
      </c>
      <c r="N10" s="180"/>
      <c r="O10" s="61"/>
      <c r="P10" s="179" t="s">
        <v>176</v>
      </c>
      <c r="Q10" s="180"/>
      <c r="R10" s="61"/>
    </row>
    <row r="11" spans="1:18" ht="15.75" thickBot="1" x14ac:dyDescent="0.3">
      <c r="A11" s="179" t="s">
        <v>177</v>
      </c>
      <c r="B11" s="181"/>
      <c r="C11" s="180"/>
      <c r="D11" s="179" t="s">
        <v>405</v>
      </c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0"/>
    </row>
    <row r="12" spans="1:18" ht="15.75" thickBot="1" x14ac:dyDescent="0.3">
      <c r="A12" s="187" t="s">
        <v>179</v>
      </c>
      <c r="B12" s="188"/>
      <c r="C12" s="189"/>
      <c r="D12" s="179" t="s">
        <v>406</v>
      </c>
      <c r="E12" s="181"/>
      <c r="F12" s="181"/>
      <c r="G12" s="180"/>
      <c r="H12" s="190">
        <v>0.2</v>
      </c>
      <c r="I12" s="191"/>
      <c r="J12" s="179" t="s">
        <v>171</v>
      </c>
      <c r="K12" s="181"/>
      <c r="L12" s="180"/>
      <c r="M12" s="65">
        <v>0.1</v>
      </c>
      <c r="N12" s="179" t="s">
        <v>407</v>
      </c>
      <c r="O12" s="181"/>
      <c r="P12" s="180"/>
      <c r="Q12" s="190">
        <v>0</v>
      </c>
      <c r="R12" s="191"/>
    </row>
    <row r="13" spans="1:18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</row>
    <row r="14" spans="1:18" ht="15.75" thickBot="1" x14ac:dyDescent="0.3">
      <c r="A14" s="59"/>
    </row>
    <row r="15" spans="1:18" ht="15.75" thickBot="1" x14ac:dyDescent="0.3">
      <c r="A15" s="176" t="s">
        <v>181</v>
      </c>
      <c r="B15" s="177"/>
      <c r="C15" s="177"/>
      <c r="D15" s="177"/>
      <c r="E15" s="177"/>
      <c r="F15" s="177"/>
      <c r="G15" s="178"/>
    </row>
    <row r="16" spans="1:18" ht="15.75" thickBot="1" x14ac:dyDescent="0.3">
      <c r="A16" s="184" t="s">
        <v>408</v>
      </c>
      <c r="B16" s="185"/>
      <c r="C16" s="185"/>
      <c r="D16" s="185"/>
      <c r="E16" s="185"/>
      <c r="F16" s="185"/>
      <c r="G16" s="186"/>
    </row>
    <row r="17" spans="1:9" ht="15.75" thickBot="1" x14ac:dyDescent="0.3">
      <c r="A17" s="184" t="s">
        <v>409</v>
      </c>
      <c r="B17" s="185"/>
      <c r="C17" s="185"/>
      <c r="D17" s="185"/>
      <c r="E17" s="185"/>
      <c r="F17" s="185"/>
      <c r="G17" s="186"/>
    </row>
    <row r="18" spans="1:9" ht="15.75" thickBot="1" x14ac:dyDescent="0.3">
      <c r="A18" s="184" t="s">
        <v>410</v>
      </c>
      <c r="B18" s="185"/>
      <c r="C18" s="185"/>
      <c r="D18" s="185"/>
      <c r="E18" s="185"/>
      <c r="F18" s="185"/>
      <c r="G18" s="186"/>
    </row>
    <row r="19" spans="1:9" ht="15.75" thickBot="1" x14ac:dyDescent="0.3">
      <c r="A19" s="184" t="s">
        <v>411</v>
      </c>
      <c r="B19" s="185"/>
      <c r="C19" s="185"/>
      <c r="D19" s="185"/>
      <c r="E19" s="185"/>
      <c r="F19" s="185"/>
      <c r="G19" s="186"/>
    </row>
    <row r="20" spans="1:9" ht="15.75" thickBot="1" x14ac:dyDescent="0.3">
      <c r="A20" s="184" t="s">
        <v>412</v>
      </c>
      <c r="B20" s="185"/>
      <c r="C20" s="185"/>
      <c r="D20" s="185"/>
      <c r="E20" s="185"/>
      <c r="F20" s="185"/>
      <c r="G20" s="186"/>
    </row>
    <row r="21" spans="1:9" ht="15.75" thickBot="1" x14ac:dyDescent="0.3">
      <c r="A21" s="184" t="s">
        <v>413</v>
      </c>
      <c r="B21" s="185"/>
      <c r="C21" s="185"/>
      <c r="D21" s="185"/>
      <c r="E21" s="185"/>
      <c r="F21" s="185"/>
      <c r="G21" s="186"/>
    </row>
    <row r="22" spans="1:9" ht="23.25" thickBot="1" x14ac:dyDescent="0.3">
      <c r="A22" s="67" t="s">
        <v>179</v>
      </c>
      <c r="B22" s="68" t="s">
        <v>414</v>
      </c>
      <c r="C22" s="65">
        <v>0.2</v>
      </c>
      <c r="D22" s="63" t="s">
        <v>193</v>
      </c>
      <c r="E22" s="65">
        <v>0.18</v>
      </c>
      <c r="F22" s="63" t="s">
        <v>194</v>
      </c>
      <c r="G22" s="65">
        <v>0.15</v>
      </c>
    </row>
    <row r="23" spans="1:9" ht="23.25" thickBot="1" x14ac:dyDescent="0.3">
      <c r="A23" s="69"/>
      <c r="B23" s="70" t="s">
        <v>195</v>
      </c>
      <c r="C23" s="65">
        <v>0.1</v>
      </c>
      <c r="D23" s="63" t="s">
        <v>196</v>
      </c>
      <c r="E23" s="65">
        <v>0.05</v>
      </c>
      <c r="F23" s="62" t="s">
        <v>369</v>
      </c>
      <c r="G23" s="65">
        <v>0</v>
      </c>
    </row>
    <row r="24" spans="1:9" x14ac:dyDescent="0.25">
      <c r="A24" s="59"/>
    </row>
    <row r="25" spans="1:9" ht="15.75" thickBot="1" x14ac:dyDescent="0.3">
      <c r="A25" s="59"/>
    </row>
    <row r="26" spans="1:9" ht="15.75" thickBot="1" x14ac:dyDescent="0.3">
      <c r="A26" s="176" t="s">
        <v>199</v>
      </c>
      <c r="B26" s="177"/>
      <c r="C26" s="177"/>
      <c r="D26" s="177"/>
      <c r="E26" s="177"/>
      <c r="F26" s="177"/>
      <c r="G26" s="177"/>
      <c r="H26" s="177"/>
      <c r="I26" s="178"/>
    </row>
    <row r="27" spans="1:9" ht="15.75" thickBot="1" x14ac:dyDescent="0.3">
      <c r="A27" s="176" t="s">
        <v>200</v>
      </c>
      <c r="B27" s="178"/>
      <c r="C27" s="176" t="s">
        <v>201</v>
      </c>
      <c r="D27" s="177"/>
      <c r="E27" s="177"/>
      <c r="F27" s="178"/>
      <c r="G27" s="176" t="s">
        <v>202</v>
      </c>
      <c r="H27" s="177"/>
      <c r="I27" s="178"/>
    </row>
    <row r="28" spans="1:9" ht="15.75" thickBot="1" x14ac:dyDescent="0.3">
      <c r="A28" s="192" t="s">
        <v>415</v>
      </c>
      <c r="B28" s="193"/>
      <c r="C28" s="208" t="s">
        <v>269</v>
      </c>
      <c r="D28" s="209"/>
      <c r="E28" s="209"/>
      <c r="F28" s="210"/>
      <c r="G28" s="200" t="s">
        <v>454</v>
      </c>
      <c r="H28" s="201"/>
      <c r="I28" s="202"/>
    </row>
    <row r="29" spans="1:9" ht="15.75" thickBot="1" x14ac:dyDescent="0.3">
      <c r="A29" s="192" t="s">
        <v>203</v>
      </c>
      <c r="B29" s="193"/>
      <c r="C29" s="208" t="s">
        <v>416</v>
      </c>
      <c r="D29" s="209"/>
      <c r="E29" s="209"/>
      <c r="F29" s="210"/>
      <c r="G29" s="200" t="s">
        <v>454</v>
      </c>
      <c r="H29" s="201"/>
      <c r="I29" s="202"/>
    </row>
    <row r="30" spans="1:9" ht="15.75" thickBot="1" x14ac:dyDescent="0.3">
      <c r="A30" s="197" t="s">
        <v>209</v>
      </c>
      <c r="B30" s="198"/>
      <c r="C30" s="198"/>
      <c r="D30" s="198"/>
      <c r="E30" s="198"/>
      <c r="F30" s="198"/>
      <c r="G30" s="198"/>
      <c r="H30" s="198"/>
      <c r="I30" s="199"/>
    </row>
    <row r="31" spans="1:9" ht="23.25" thickBot="1" x14ac:dyDescent="0.3">
      <c r="A31" s="67" t="s">
        <v>179</v>
      </c>
      <c r="B31" s="179" t="s">
        <v>320</v>
      </c>
      <c r="C31" s="180"/>
      <c r="D31" s="65">
        <v>0.2</v>
      </c>
      <c r="E31" s="63" t="s">
        <v>321</v>
      </c>
      <c r="F31" s="190">
        <v>0.15</v>
      </c>
      <c r="G31" s="191"/>
      <c r="H31" s="63" t="s">
        <v>372</v>
      </c>
      <c r="I31" s="65">
        <v>0.1</v>
      </c>
    </row>
    <row r="32" spans="1:9" ht="15.75" thickBot="1" x14ac:dyDescent="0.3">
      <c r="A32" s="69"/>
      <c r="B32" s="179" t="s">
        <v>373</v>
      </c>
      <c r="C32" s="180"/>
      <c r="D32" s="65">
        <v>0</v>
      </c>
      <c r="E32" s="63"/>
      <c r="F32" s="211"/>
      <c r="G32" s="212"/>
      <c r="H32" s="63"/>
      <c r="I32" s="72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</row>
    <row r="34" spans="1:11" x14ac:dyDescent="0.25">
      <c r="A34" s="59"/>
    </row>
    <row r="35" spans="1:11" x14ac:dyDescent="0.25">
      <c r="A35" s="59"/>
    </row>
    <row r="36" spans="1:11" x14ac:dyDescent="0.25">
      <c r="A36" s="59"/>
    </row>
    <row r="37" spans="1:11" x14ac:dyDescent="0.25">
      <c r="A37" s="59"/>
    </row>
    <row r="38" spans="1:11" x14ac:dyDescent="0.25">
      <c r="A38" s="59"/>
    </row>
    <row r="39" spans="1:11" x14ac:dyDescent="0.25">
      <c r="A39" s="59"/>
    </row>
    <row r="40" spans="1:11" x14ac:dyDescent="0.25">
      <c r="A40" s="59"/>
    </row>
    <row r="41" spans="1:11" ht="15.75" thickBot="1" x14ac:dyDescent="0.3">
      <c r="A41" s="59"/>
    </row>
    <row r="42" spans="1:11" ht="15.75" thickBot="1" x14ac:dyDescent="0.3">
      <c r="A42" s="176" t="s">
        <v>215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.75" thickBot="1" x14ac:dyDescent="0.3">
      <c r="A43" s="176" t="s">
        <v>216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5.75" thickBot="1" x14ac:dyDescent="0.3">
      <c r="A44" s="73" t="s">
        <v>217</v>
      </c>
      <c r="B44" s="200" t="s">
        <v>218</v>
      </c>
      <c r="C44" s="201"/>
      <c r="D44" s="202"/>
      <c r="E44" s="200" t="s">
        <v>219</v>
      </c>
      <c r="F44" s="201"/>
      <c r="G44" s="202"/>
      <c r="H44" s="200" t="s">
        <v>417</v>
      </c>
      <c r="I44" s="201"/>
      <c r="J44" s="201"/>
      <c r="K44" s="202"/>
    </row>
    <row r="45" spans="1:11" ht="24.75" thickBot="1" x14ac:dyDescent="0.3">
      <c r="A45" s="74" t="s">
        <v>221</v>
      </c>
      <c r="B45" s="75" t="s">
        <v>222</v>
      </c>
      <c r="C45" s="76">
        <v>0.1</v>
      </c>
      <c r="D45" s="200" t="s">
        <v>223</v>
      </c>
      <c r="E45" s="202"/>
      <c r="F45" s="76">
        <v>0.06</v>
      </c>
      <c r="G45" s="75" t="s">
        <v>224</v>
      </c>
      <c r="H45" s="76">
        <v>0.04</v>
      </c>
      <c r="I45" s="200" t="s">
        <v>225</v>
      </c>
      <c r="J45" s="202"/>
      <c r="K45" s="76">
        <v>0</v>
      </c>
    </row>
    <row r="46" spans="1:11" ht="15.75" thickBot="1" x14ac:dyDescent="0.3">
      <c r="A46" s="176" t="s">
        <v>226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8"/>
    </row>
    <row r="47" spans="1:11" ht="15.75" thickBot="1" x14ac:dyDescent="0.3">
      <c r="A47" s="73" t="s">
        <v>418</v>
      </c>
      <c r="B47" s="200" t="s">
        <v>323</v>
      </c>
      <c r="C47" s="201"/>
      <c r="D47" s="202"/>
      <c r="E47" s="200" t="s">
        <v>324</v>
      </c>
      <c r="F47" s="201"/>
      <c r="G47" s="202"/>
      <c r="H47" s="200" t="s">
        <v>419</v>
      </c>
      <c r="I47" s="201"/>
      <c r="J47" s="201"/>
      <c r="K47" s="202"/>
    </row>
    <row r="48" spans="1:11" ht="24.75" thickBot="1" x14ac:dyDescent="0.3">
      <c r="A48" s="74" t="s">
        <v>221</v>
      </c>
      <c r="B48" s="75" t="s">
        <v>222</v>
      </c>
      <c r="C48" s="76">
        <v>0.1</v>
      </c>
      <c r="D48" s="200" t="s">
        <v>223</v>
      </c>
      <c r="E48" s="202"/>
      <c r="F48" s="76">
        <v>0.06</v>
      </c>
      <c r="G48" s="75" t="s">
        <v>224</v>
      </c>
      <c r="H48" s="76">
        <v>0.04</v>
      </c>
      <c r="I48" s="75" t="s">
        <v>225</v>
      </c>
      <c r="J48" s="206">
        <v>0</v>
      </c>
      <c r="K48" s="207"/>
    </row>
    <row r="49" spans="1:1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78"/>
    </row>
    <row r="51" spans="1:11" ht="15.75" thickBot="1" x14ac:dyDescent="0.3">
      <c r="A51" s="78"/>
    </row>
    <row r="52" spans="1:11" ht="26.25" thickBot="1" x14ac:dyDescent="0.3">
      <c r="A52" s="52" t="s">
        <v>231</v>
      </c>
      <c r="B52" s="53"/>
    </row>
    <row r="53" spans="1:11" ht="15.75" thickBot="1" x14ac:dyDescent="0.3">
      <c r="A53" s="78"/>
    </row>
    <row r="54" spans="1:11" ht="15.75" thickBot="1" x14ac:dyDescent="0.3">
      <c r="A54" s="176" t="s">
        <v>232</v>
      </c>
      <c r="B54" s="178"/>
    </row>
    <row r="55" spans="1:11" ht="15.75" thickBot="1" x14ac:dyDescent="0.3">
      <c r="A55" s="79" t="s">
        <v>233</v>
      </c>
      <c r="B55" s="80" t="s">
        <v>234</v>
      </c>
    </row>
    <row r="56" spans="1:11" ht="48" x14ac:dyDescent="0.25">
      <c r="A56" s="203" t="s">
        <v>277</v>
      </c>
      <c r="B56" s="81" t="s">
        <v>420</v>
      </c>
    </row>
    <row r="57" spans="1:11" ht="48" x14ac:dyDescent="0.25">
      <c r="A57" s="204"/>
      <c r="B57" s="81" t="s">
        <v>421</v>
      </c>
    </row>
    <row r="58" spans="1:11" ht="24" x14ac:dyDescent="0.25">
      <c r="A58" s="204"/>
      <c r="B58" s="81" t="s">
        <v>422</v>
      </c>
    </row>
    <row r="59" spans="1:11" ht="36" x14ac:dyDescent="0.25">
      <c r="A59" s="204"/>
      <c r="B59" s="81" t="s">
        <v>423</v>
      </c>
    </row>
    <row r="60" spans="1:11" ht="36" x14ac:dyDescent="0.25">
      <c r="A60" s="204"/>
      <c r="B60" s="81" t="s">
        <v>424</v>
      </c>
    </row>
    <row r="61" spans="1:11" ht="36" x14ac:dyDescent="0.25">
      <c r="A61" s="204"/>
      <c r="B61" s="81" t="s">
        <v>425</v>
      </c>
    </row>
    <row r="62" spans="1:11" ht="36" x14ac:dyDescent="0.25">
      <c r="A62" s="204"/>
      <c r="B62" s="81" t="s">
        <v>426</v>
      </c>
    </row>
    <row r="63" spans="1:11" ht="48.75" thickBot="1" x14ac:dyDescent="0.3">
      <c r="A63" s="205"/>
      <c r="B63" s="84" t="s">
        <v>427</v>
      </c>
    </row>
    <row r="64" spans="1:11" ht="48.75" thickBot="1" x14ac:dyDescent="0.3">
      <c r="A64" s="85" t="s">
        <v>243</v>
      </c>
      <c r="B64" s="84" t="s">
        <v>428</v>
      </c>
    </row>
    <row r="65" spans="1:2" ht="24.75" thickBot="1" x14ac:dyDescent="0.3">
      <c r="A65" s="85" t="s">
        <v>249</v>
      </c>
      <c r="B65" s="84" t="s">
        <v>355</v>
      </c>
    </row>
  </sheetData>
  <mergeCells count="50">
    <mergeCell ref="D48:E48"/>
    <mergeCell ref="J48:K48"/>
    <mergeCell ref="A54:B54"/>
    <mergeCell ref="A56:A63"/>
    <mergeCell ref="D45:E45"/>
    <mergeCell ref="I45:J45"/>
    <mergeCell ref="A46:K46"/>
    <mergeCell ref="B47:D47"/>
    <mergeCell ref="E47:G47"/>
    <mergeCell ref="H47:K47"/>
    <mergeCell ref="B32:C32"/>
    <mergeCell ref="F32:G32"/>
    <mergeCell ref="A42:K42"/>
    <mergeCell ref="A43:K43"/>
    <mergeCell ref="B44:D44"/>
    <mergeCell ref="E44:G44"/>
    <mergeCell ref="H44:K44"/>
    <mergeCell ref="A29:B29"/>
    <mergeCell ref="C29:F29"/>
    <mergeCell ref="G29:I29"/>
    <mergeCell ref="A30:I30"/>
    <mergeCell ref="B31:C31"/>
    <mergeCell ref="F31:G31"/>
    <mergeCell ref="A28:B28"/>
    <mergeCell ref="C28:F28"/>
    <mergeCell ref="G28:I28"/>
    <mergeCell ref="A15:G15"/>
    <mergeCell ref="A16:G16"/>
    <mergeCell ref="A17:G17"/>
    <mergeCell ref="A18:G18"/>
    <mergeCell ref="A19:G19"/>
    <mergeCell ref="A20:G20"/>
    <mergeCell ref="A21:G21"/>
    <mergeCell ref="A26:I26"/>
    <mergeCell ref="A27:B27"/>
    <mergeCell ref="C27:F27"/>
    <mergeCell ref="G27:I27"/>
    <mergeCell ref="Q12:R12"/>
    <mergeCell ref="A9:R9"/>
    <mergeCell ref="G10:H10"/>
    <mergeCell ref="I10:J10"/>
    <mergeCell ref="M10:N10"/>
    <mergeCell ref="P10:Q10"/>
    <mergeCell ref="A11:C11"/>
    <mergeCell ref="D11:R11"/>
    <mergeCell ref="A12:C12"/>
    <mergeCell ref="D12:G12"/>
    <mergeCell ref="H12:I12"/>
    <mergeCell ref="J12:L12"/>
    <mergeCell ref="N12:P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I14"/>
  <sheetViews>
    <sheetView workbookViewId="0">
      <selection activeCell="K21" sqref="K21"/>
    </sheetView>
  </sheetViews>
  <sheetFormatPr baseColWidth="10" defaultRowHeight="15" x14ac:dyDescent="0.2"/>
  <cols>
    <col min="1" max="1" width="22.7109375" style="1" customWidth="1"/>
    <col min="2" max="2" width="11.42578125" style="1"/>
    <col min="3" max="3" width="14.28515625" style="1" customWidth="1"/>
    <col min="4" max="4" width="16" style="1" customWidth="1"/>
    <col min="5" max="5" width="16.5703125" style="1" customWidth="1"/>
    <col min="6" max="6" width="14.85546875" style="1" customWidth="1"/>
    <col min="7" max="7" width="15.140625" style="1" bestFit="1" customWidth="1"/>
    <col min="8" max="8" width="15.140625" style="1" customWidth="1"/>
    <col min="9" max="9" width="13" style="1" customWidth="1"/>
    <col min="10" max="16384" width="11.42578125" style="1"/>
  </cols>
  <sheetData>
    <row r="2" spans="1:9" ht="15.75" x14ac:dyDescent="0.25">
      <c r="A2" s="126" t="s">
        <v>121</v>
      </c>
      <c r="B2" s="127"/>
      <c r="C2" s="127"/>
      <c r="D2" s="127"/>
      <c r="E2" s="127"/>
      <c r="F2" s="127"/>
      <c r="G2" s="127"/>
      <c r="H2" s="127"/>
      <c r="I2" s="128"/>
    </row>
    <row r="3" spans="1:9" ht="47.25" x14ac:dyDescent="0.25">
      <c r="A3" s="2" t="s">
        <v>5</v>
      </c>
      <c r="B3" s="21" t="s">
        <v>105</v>
      </c>
      <c r="C3" s="22" t="s">
        <v>97</v>
      </c>
      <c r="D3" s="22" t="s">
        <v>98</v>
      </c>
      <c r="E3" s="22" t="s">
        <v>99</v>
      </c>
      <c r="F3" s="22" t="s">
        <v>100</v>
      </c>
      <c r="G3" s="22" t="s">
        <v>106</v>
      </c>
      <c r="H3" s="22" t="s">
        <v>23</v>
      </c>
      <c r="I3" s="21" t="s">
        <v>6</v>
      </c>
    </row>
    <row r="4" spans="1:9" x14ac:dyDescent="0.2">
      <c r="A4" s="4" t="s">
        <v>105</v>
      </c>
      <c r="B4" s="5"/>
      <c r="C4" s="8" t="s">
        <v>107</v>
      </c>
      <c r="D4" s="8" t="s">
        <v>107</v>
      </c>
      <c r="E4" s="8" t="s">
        <v>107</v>
      </c>
      <c r="F4" s="8" t="s">
        <v>107</v>
      </c>
      <c r="G4" s="8">
        <f>COUNTIF(B4:F4,"+")</f>
        <v>4</v>
      </c>
      <c r="H4" s="8">
        <f>SMALL($G$4:$G$8,I4)</f>
        <v>0</v>
      </c>
      <c r="I4" s="8">
        <v>1</v>
      </c>
    </row>
    <row r="5" spans="1:9" x14ac:dyDescent="0.2">
      <c r="A5" s="6" t="s">
        <v>97</v>
      </c>
      <c r="B5" s="6"/>
      <c r="C5" s="11"/>
      <c r="D5" s="8" t="s">
        <v>107</v>
      </c>
      <c r="E5" s="8" t="s">
        <v>107</v>
      </c>
      <c r="F5" s="8" t="s">
        <v>107</v>
      </c>
      <c r="G5" s="8">
        <f t="shared" ref="G5:G8" si="0">COUNTIF(B5:F5,"+")</f>
        <v>3</v>
      </c>
      <c r="H5" s="8">
        <f t="shared" ref="H5:H8" si="1">SMALL($G$4:$G$8,I5)</f>
        <v>1</v>
      </c>
      <c r="I5" s="8">
        <v>2</v>
      </c>
    </row>
    <row r="6" spans="1:9" ht="30" x14ac:dyDescent="0.2">
      <c r="A6" s="7" t="s">
        <v>98</v>
      </c>
      <c r="B6" s="6"/>
      <c r="C6" s="8"/>
      <c r="D6" s="11"/>
      <c r="E6" s="8" t="s">
        <v>107</v>
      </c>
      <c r="F6" s="8" t="s">
        <v>107</v>
      </c>
      <c r="G6" s="8">
        <f t="shared" si="0"/>
        <v>2</v>
      </c>
      <c r="H6" s="8">
        <f t="shared" si="1"/>
        <v>2</v>
      </c>
      <c r="I6" s="8">
        <v>3</v>
      </c>
    </row>
    <row r="7" spans="1:9" ht="15.75" x14ac:dyDescent="0.25">
      <c r="A7" s="6" t="s">
        <v>99</v>
      </c>
      <c r="B7" s="6"/>
      <c r="C7" s="8"/>
      <c r="D7" s="8"/>
      <c r="E7" s="11"/>
      <c r="F7" s="8" t="s">
        <v>107</v>
      </c>
      <c r="G7" s="8">
        <f t="shared" si="0"/>
        <v>1</v>
      </c>
      <c r="H7" s="8">
        <f t="shared" si="1"/>
        <v>3</v>
      </c>
      <c r="I7" s="122">
        <v>4</v>
      </c>
    </row>
    <row r="8" spans="1:9" ht="30" x14ac:dyDescent="0.2">
      <c r="A8" s="7" t="s">
        <v>100</v>
      </c>
      <c r="B8" s="6"/>
      <c r="C8" s="6"/>
      <c r="D8" s="6"/>
      <c r="E8" s="6"/>
      <c r="F8" s="5"/>
      <c r="G8" s="8">
        <f t="shared" si="0"/>
        <v>0</v>
      </c>
      <c r="H8" s="8">
        <f t="shared" si="1"/>
        <v>4</v>
      </c>
      <c r="I8" s="8">
        <v>5</v>
      </c>
    </row>
    <row r="9" spans="1:9" ht="15.75" x14ac:dyDescent="0.25">
      <c r="A9" s="12" t="s">
        <v>108</v>
      </c>
      <c r="B9" s="14">
        <f>COUNTIF(B4:B8,"+")</f>
        <v>0</v>
      </c>
      <c r="C9" s="14">
        <f t="shared" ref="C9:F9" si="2">COUNTIF(C4:C8,"+")</f>
        <v>1</v>
      </c>
      <c r="D9" s="14">
        <f t="shared" si="2"/>
        <v>2</v>
      </c>
      <c r="E9" s="14">
        <f t="shared" si="2"/>
        <v>3</v>
      </c>
      <c r="F9" s="14">
        <f t="shared" si="2"/>
        <v>4</v>
      </c>
      <c r="G9" s="8">
        <f>SUM(G4:G8)</f>
        <v>10</v>
      </c>
      <c r="H9" s="8"/>
      <c r="I9" s="13"/>
    </row>
    <row r="10" spans="1:9" ht="15.75" x14ac:dyDescent="0.25">
      <c r="A10" s="15"/>
      <c r="B10" s="16"/>
      <c r="C10" s="16"/>
      <c r="D10" s="15"/>
      <c r="E10" s="16"/>
      <c r="F10" s="16"/>
      <c r="G10" s="15"/>
      <c r="H10" s="15"/>
      <c r="I10" s="16"/>
    </row>
    <row r="11" spans="1:9" x14ac:dyDescent="0.2">
      <c r="A11" s="129" t="s">
        <v>7</v>
      </c>
      <c r="B11" s="129"/>
      <c r="C11" s="129"/>
      <c r="D11" s="6"/>
      <c r="E11" s="6"/>
      <c r="F11" s="6"/>
      <c r="G11" s="6"/>
      <c r="H11" s="6"/>
      <c r="I11" s="6"/>
    </row>
    <row r="13" spans="1:9" x14ac:dyDescent="0.2">
      <c r="A13" s="14" t="s">
        <v>109</v>
      </c>
    </row>
    <row r="14" spans="1:9" x14ac:dyDescent="0.2">
      <c r="A14" s="14">
        <f>(5*(5-1)/2)</f>
        <v>10</v>
      </c>
    </row>
  </sheetData>
  <mergeCells count="2">
    <mergeCell ref="A2:I2"/>
    <mergeCell ref="A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K25"/>
  <sheetViews>
    <sheetView workbookViewId="0">
      <selection activeCell="C19" sqref="C19"/>
    </sheetView>
  </sheetViews>
  <sheetFormatPr baseColWidth="10" defaultRowHeight="15" x14ac:dyDescent="0.2"/>
  <cols>
    <col min="1" max="1" width="23" style="1" customWidth="1"/>
    <col min="2" max="2" width="15.85546875" style="1" bestFit="1" customWidth="1"/>
    <col min="3" max="3" width="17.85546875" style="1" customWidth="1"/>
    <col min="4" max="4" width="15.85546875" style="1" customWidth="1"/>
    <col min="5" max="5" width="16.5703125" style="1" bestFit="1" customWidth="1"/>
    <col min="6" max="6" width="20.85546875" style="1" customWidth="1"/>
    <col min="7" max="7" width="15.140625" style="1" customWidth="1"/>
    <col min="8" max="8" width="11.42578125" style="1"/>
    <col min="9" max="9" width="13" style="1" customWidth="1"/>
    <col min="10" max="10" width="11.42578125" style="1"/>
    <col min="11" max="11" width="25.42578125" style="1" customWidth="1"/>
    <col min="12" max="16384" width="11.42578125" style="1"/>
  </cols>
  <sheetData>
    <row r="2" spans="1:11" x14ac:dyDescent="0.2">
      <c r="A2" s="129" t="s">
        <v>4</v>
      </c>
      <c r="B2" s="129"/>
      <c r="C2" s="129"/>
      <c r="D2" s="129"/>
      <c r="E2" s="129"/>
      <c r="F2" s="129"/>
      <c r="G2" s="129"/>
      <c r="H2" s="129"/>
      <c r="I2" s="129"/>
      <c r="K2" s="1" t="s">
        <v>110</v>
      </c>
    </row>
    <row r="3" spans="1:11" ht="47.25" x14ac:dyDescent="0.25">
      <c r="A3" s="5" t="s">
        <v>8</v>
      </c>
      <c r="B3" s="2" t="s">
        <v>105</v>
      </c>
      <c r="C3" s="3" t="s">
        <v>97</v>
      </c>
      <c r="D3" s="3" t="s">
        <v>98</v>
      </c>
      <c r="E3" s="3" t="s">
        <v>99</v>
      </c>
      <c r="F3" s="3" t="s">
        <v>100</v>
      </c>
      <c r="G3" s="11" t="s">
        <v>59</v>
      </c>
      <c r="H3" s="11" t="s">
        <v>120</v>
      </c>
      <c r="I3" s="11" t="s">
        <v>6</v>
      </c>
      <c r="K3" s="18" t="s">
        <v>111</v>
      </c>
    </row>
    <row r="4" spans="1:11" x14ac:dyDescent="0.2">
      <c r="A4" s="6" t="s">
        <v>101</v>
      </c>
      <c r="B4" s="19"/>
      <c r="C4" s="8">
        <v>2</v>
      </c>
      <c r="D4" s="8">
        <v>3</v>
      </c>
      <c r="E4" s="8">
        <v>4</v>
      </c>
      <c r="F4" s="8">
        <v>5</v>
      </c>
      <c r="G4" s="8">
        <f>SUM(C4+D4+E4+F4)</f>
        <v>14</v>
      </c>
      <c r="H4" s="8">
        <f>LARGE($G$4:$G$8,I4)</f>
        <v>14</v>
      </c>
      <c r="I4" s="8">
        <v>1</v>
      </c>
    </row>
    <row r="5" spans="1:11" x14ac:dyDescent="0.2">
      <c r="A5" s="6" t="s">
        <v>97</v>
      </c>
      <c r="B5" s="8">
        <v>-2</v>
      </c>
      <c r="C5" s="19"/>
      <c r="D5" s="8">
        <v>3</v>
      </c>
      <c r="E5" s="8">
        <v>4</v>
      </c>
      <c r="F5" s="8">
        <v>5</v>
      </c>
      <c r="G5" s="8">
        <f t="shared" ref="G5:G8" si="0">SUM(C5+D5+E5+F5)</f>
        <v>12</v>
      </c>
      <c r="H5" s="8">
        <f t="shared" ref="H5:H8" si="1">LARGE($G$4:$G$8,I5)</f>
        <v>12</v>
      </c>
      <c r="I5" s="8">
        <v>2</v>
      </c>
    </row>
    <row r="6" spans="1:11" ht="30" x14ac:dyDescent="0.2">
      <c r="A6" s="7" t="s">
        <v>98</v>
      </c>
      <c r="B6" s="8">
        <v>-3</v>
      </c>
      <c r="C6" s="8">
        <v>-3</v>
      </c>
      <c r="D6" s="19"/>
      <c r="E6" s="8">
        <v>4</v>
      </c>
      <c r="F6" s="8">
        <v>5</v>
      </c>
      <c r="G6" s="8">
        <f t="shared" si="0"/>
        <v>6</v>
      </c>
      <c r="H6" s="8">
        <f t="shared" si="1"/>
        <v>6</v>
      </c>
      <c r="I6" s="8">
        <v>3</v>
      </c>
    </row>
    <row r="7" spans="1:11" x14ac:dyDescent="0.2">
      <c r="A7" s="6" t="s">
        <v>99</v>
      </c>
      <c r="B7" s="8">
        <v>-4</v>
      </c>
      <c r="C7" s="8">
        <v>-4</v>
      </c>
      <c r="D7" s="8">
        <v>-4</v>
      </c>
      <c r="E7" s="19"/>
      <c r="F7" s="8">
        <v>5</v>
      </c>
      <c r="G7" s="8">
        <f t="shared" si="0"/>
        <v>-3</v>
      </c>
      <c r="H7" s="8">
        <f t="shared" si="1"/>
        <v>-3</v>
      </c>
      <c r="I7" s="8">
        <v>4</v>
      </c>
    </row>
    <row r="8" spans="1:11" ht="30" x14ac:dyDescent="0.2">
      <c r="A8" s="7" t="s">
        <v>100</v>
      </c>
      <c r="B8" s="8">
        <v>-5</v>
      </c>
      <c r="C8" s="8">
        <v>-5</v>
      </c>
      <c r="D8" s="8">
        <v>-5</v>
      </c>
      <c r="E8" s="8">
        <v>-5</v>
      </c>
      <c r="F8" s="19"/>
      <c r="G8" s="8">
        <f t="shared" si="0"/>
        <v>-15</v>
      </c>
      <c r="H8" s="8">
        <f t="shared" si="1"/>
        <v>-15</v>
      </c>
      <c r="I8" s="8">
        <v>5</v>
      </c>
    </row>
    <row r="11" spans="1:11" x14ac:dyDescent="0.2">
      <c r="A11" s="130" t="s">
        <v>16</v>
      </c>
      <c r="B11" s="131"/>
      <c r="C11" s="131"/>
      <c r="D11" s="132"/>
    </row>
    <row r="12" spans="1:11" x14ac:dyDescent="0.2">
      <c r="A12" s="130" t="s">
        <v>17</v>
      </c>
      <c r="B12" s="132"/>
      <c r="C12" s="133">
        <v>6443500</v>
      </c>
      <c r="D12" s="134"/>
    </row>
    <row r="13" spans="1:11" x14ac:dyDescent="0.2">
      <c r="A13" s="130" t="s">
        <v>18</v>
      </c>
      <c r="B13" s="132"/>
      <c r="C13" s="135">
        <v>700000</v>
      </c>
      <c r="D13" s="136"/>
    </row>
    <row r="15" spans="1:11" ht="30" x14ac:dyDescent="0.2">
      <c r="A15" s="130" t="s">
        <v>1</v>
      </c>
      <c r="B15" s="132"/>
      <c r="C15" s="24" t="s">
        <v>124</v>
      </c>
    </row>
    <row r="16" spans="1:11" x14ac:dyDescent="0.2">
      <c r="A16" s="137" t="s">
        <v>105</v>
      </c>
      <c r="B16" s="137"/>
      <c r="C16" s="23">
        <f>C12</f>
        <v>6443500</v>
      </c>
    </row>
    <row r="17" spans="1:4" x14ac:dyDescent="0.2">
      <c r="A17" s="137" t="s">
        <v>112</v>
      </c>
      <c r="B17" s="137"/>
      <c r="C17" s="23">
        <f>C16-$B$24</f>
        <v>5007625</v>
      </c>
    </row>
    <row r="18" spans="1:4" x14ac:dyDescent="0.2">
      <c r="A18" s="137" t="s">
        <v>113</v>
      </c>
      <c r="B18" s="137"/>
      <c r="C18" s="23">
        <f t="shared" ref="C18:C20" si="2">C17-$B$24</f>
        <v>3571750</v>
      </c>
    </row>
    <row r="19" spans="1:4" x14ac:dyDescent="0.2">
      <c r="A19" s="137" t="s">
        <v>99</v>
      </c>
      <c r="B19" s="137"/>
      <c r="C19" s="23">
        <f t="shared" si="2"/>
        <v>2135875</v>
      </c>
    </row>
    <row r="20" spans="1:4" x14ac:dyDescent="0.2">
      <c r="A20" s="137" t="s">
        <v>114</v>
      </c>
      <c r="B20" s="137"/>
      <c r="C20" s="23">
        <f t="shared" si="2"/>
        <v>700000</v>
      </c>
    </row>
    <row r="22" spans="1:4" x14ac:dyDescent="0.2">
      <c r="A22" s="138" t="s">
        <v>115</v>
      </c>
      <c r="B22" s="138"/>
      <c r="C22" s="138"/>
      <c r="D22" s="138"/>
    </row>
    <row r="24" spans="1:4" x14ac:dyDescent="0.2">
      <c r="A24" s="5" t="s">
        <v>123</v>
      </c>
      <c r="B24" s="25">
        <f>($C$12-$C$13)/($B$25-1)</f>
        <v>1435875</v>
      </c>
    </row>
    <row r="25" spans="1:4" x14ac:dyDescent="0.2">
      <c r="A25" s="5" t="s">
        <v>122</v>
      </c>
      <c r="B25" s="5">
        <f>COUNTA(A16:B20)</f>
        <v>5</v>
      </c>
    </row>
  </sheetData>
  <mergeCells count="13">
    <mergeCell ref="A15:B15"/>
    <mergeCell ref="A16:B16"/>
    <mergeCell ref="A20:B20"/>
    <mergeCell ref="A22:D22"/>
    <mergeCell ref="A17:B17"/>
    <mergeCell ref="A18:B18"/>
    <mergeCell ref="A19:B19"/>
    <mergeCell ref="A2:I2"/>
    <mergeCell ref="A11:D11"/>
    <mergeCell ref="A12:B12"/>
    <mergeCell ref="C12:D12"/>
    <mergeCell ref="A13:B13"/>
    <mergeCell ref="C13:D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J30"/>
  <sheetViews>
    <sheetView topLeftCell="A21" workbookViewId="0">
      <selection activeCell="G28" sqref="G28"/>
    </sheetView>
  </sheetViews>
  <sheetFormatPr baseColWidth="10" defaultRowHeight="15" x14ac:dyDescent="0.2"/>
  <cols>
    <col min="1" max="1" width="22.5703125" style="1" customWidth="1"/>
    <col min="2" max="2" width="12.140625" style="1" customWidth="1"/>
    <col min="3" max="3" width="17.7109375" style="1" customWidth="1"/>
    <col min="4" max="4" width="17" style="1" customWidth="1"/>
    <col min="5" max="5" width="13.85546875" style="1" customWidth="1"/>
    <col min="6" max="6" width="13.5703125" style="1" customWidth="1"/>
    <col min="7" max="16384" width="11.42578125" style="1"/>
  </cols>
  <sheetData>
    <row r="2" spans="1:10" ht="15.75" x14ac:dyDescent="0.25">
      <c r="A2" s="126" t="s">
        <v>19</v>
      </c>
      <c r="B2" s="127"/>
      <c r="C2" s="127"/>
      <c r="D2" s="127"/>
      <c r="E2" s="127"/>
      <c r="F2" s="128"/>
    </row>
    <row r="3" spans="1:10" ht="15.75" x14ac:dyDescent="0.25">
      <c r="A3" s="152" t="s">
        <v>9</v>
      </c>
      <c r="B3" s="152" t="s">
        <v>10</v>
      </c>
      <c r="C3" s="147" t="s">
        <v>14</v>
      </c>
      <c r="D3" s="148"/>
      <c r="E3" s="148"/>
      <c r="F3" s="149"/>
    </row>
    <row r="4" spans="1:10" ht="15.75" x14ac:dyDescent="0.25">
      <c r="A4" s="153"/>
      <c r="B4" s="153"/>
      <c r="C4" s="20" t="s">
        <v>116</v>
      </c>
      <c r="D4" s="20" t="s">
        <v>117</v>
      </c>
      <c r="E4" s="26" t="s">
        <v>118</v>
      </c>
      <c r="F4" s="20" t="s">
        <v>119</v>
      </c>
    </row>
    <row r="5" spans="1:10" ht="15.75" x14ac:dyDescent="0.25">
      <c r="A5" s="150" t="s">
        <v>11</v>
      </c>
      <c r="B5" s="20" t="s">
        <v>20</v>
      </c>
      <c r="C5" s="6" t="s">
        <v>105</v>
      </c>
      <c r="D5" s="6"/>
      <c r="E5" s="27"/>
      <c r="F5" s="6"/>
      <c r="H5" s="36"/>
      <c r="I5" s="36"/>
      <c r="J5" s="35"/>
    </row>
    <row r="6" spans="1:10" ht="15.75" x14ac:dyDescent="0.25">
      <c r="A6" s="151"/>
      <c r="B6" s="20" t="s">
        <v>21</v>
      </c>
      <c r="C6" s="6"/>
      <c r="D6" s="6"/>
      <c r="E6" s="27"/>
      <c r="F6" s="6"/>
      <c r="H6" s="36"/>
      <c r="I6" s="36"/>
      <c r="J6" s="35"/>
    </row>
    <row r="7" spans="1:10" ht="30.75" x14ac:dyDescent="0.25">
      <c r="A7" s="154" t="s">
        <v>75</v>
      </c>
      <c r="B7" s="20" t="s">
        <v>20</v>
      </c>
      <c r="C7" s="6"/>
      <c r="D7" s="7" t="s">
        <v>131</v>
      </c>
      <c r="E7" s="27"/>
      <c r="F7" s="6"/>
      <c r="H7" s="36"/>
      <c r="I7" s="36"/>
      <c r="J7" s="35"/>
    </row>
    <row r="8" spans="1:10" ht="45.75" x14ac:dyDescent="0.25">
      <c r="A8" s="155"/>
      <c r="B8" s="20" t="s">
        <v>21</v>
      </c>
      <c r="C8" s="6"/>
      <c r="D8" s="6"/>
      <c r="E8" s="7" t="s">
        <v>98</v>
      </c>
      <c r="F8" s="6"/>
      <c r="H8" s="36"/>
      <c r="I8" s="36"/>
      <c r="J8" s="35"/>
    </row>
    <row r="9" spans="1:10" ht="45.75" x14ac:dyDescent="0.25">
      <c r="A9" s="150" t="s">
        <v>12</v>
      </c>
      <c r="B9" s="20" t="s">
        <v>20</v>
      </c>
      <c r="C9" s="6"/>
      <c r="D9" s="7" t="s">
        <v>133</v>
      </c>
      <c r="E9" s="27"/>
      <c r="F9" s="6"/>
      <c r="H9" s="36"/>
      <c r="I9" s="36"/>
      <c r="J9" s="35"/>
    </row>
    <row r="10" spans="1:10" ht="15.75" x14ac:dyDescent="0.25">
      <c r="A10" s="151"/>
      <c r="B10" s="20" t="s">
        <v>21</v>
      </c>
      <c r="C10" s="6"/>
      <c r="D10" s="6"/>
      <c r="E10" s="27"/>
      <c r="F10" s="6"/>
      <c r="H10" s="35"/>
      <c r="I10" s="35"/>
      <c r="J10" s="35"/>
    </row>
    <row r="11" spans="1:10" ht="30.75" x14ac:dyDescent="0.25">
      <c r="A11" s="150" t="s">
        <v>13</v>
      </c>
      <c r="B11" s="20" t="s">
        <v>20</v>
      </c>
      <c r="C11" s="6"/>
      <c r="D11" s="6"/>
      <c r="E11" s="27"/>
      <c r="F11" s="7" t="s">
        <v>132</v>
      </c>
    </row>
    <row r="12" spans="1:10" ht="15.75" x14ac:dyDescent="0.25">
      <c r="A12" s="151"/>
      <c r="B12" s="20" t="s">
        <v>21</v>
      </c>
      <c r="C12" s="6"/>
      <c r="D12" s="6"/>
      <c r="E12" s="27"/>
      <c r="F12" s="6"/>
    </row>
    <row r="14" spans="1:10" ht="12.75" customHeight="1" x14ac:dyDescent="0.2">
      <c r="A14" s="18"/>
      <c r="B14" s="18"/>
      <c r="C14" s="18"/>
      <c r="D14" s="18"/>
      <c r="E14" s="18"/>
    </row>
    <row r="15" spans="1:10" ht="18.75" customHeight="1" x14ac:dyDescent="0.2">
      <c r="A15" s="145" t="s">
        <v>125</v>
      </c>
      <c r="B15" s="145"/>
      <c r="C15" s="145"/>
      <c r="D15" s="145"/>
      <c r="E15" s="145"/>
    </row>
    <row r="16" spans="1:10" x14ac:dyDescent="0.2">
      <c r="A16" s="140" t="s">
        <v>9</v>
      </c>
      <c r="B16" s="141"/>
      <c r="C16" s="141"/>
      <c r="D16" s="141"/>
      <c r="E16" s="136"/>
    </row>
    <row r="17" spans="1:5" ht="15.75" customHeight="1" x14ac:dyDescent="0.2">
      <c r="A17" s="143" t="s">
        <v>128</v>
      </c>
      <c r="B17" s="143"/>
      <c r="C17" s="143"/>
      <c r="D17" s="143"/>
      <c r="E17" s="143"/>
    </row>
    <row r="18" spans="1:5" ht="25.5" customHeight="1" x14ac:dyDescent="0.2">
      <c r="A18" s="143"/>
      <c r="B18" s="143"/>
      <c r="C18" s="143"/>
      <c r="D18" s="143"/>
      <c r="E18" s="143"/>
    </row>
    <row r="19" spans="1:5" ht="45.75" customHeight="1" x14ac:dyDescent="0.2">
      <c r="A19" s="8" t="s">
        <v>126</v>
      </c>
      <c r="B19" s="146" t="s">
        <v>129</v>
      </c>
      <c r="C19" s="146"/>
      <c r="D19" s="146"/>
      <c r="E19" s="146"/>
    </row>
    <row r="20" spans="1:5" ht="28.5" customHeight="1" x14ac:dyDescent="0.2">
      <c r="A20" s="8" t="s">
        <v>130</v>
      </c>
      <c r="B20" s="139" t="s">
        <v>136</v>
      </c>
      <c r="C20" s="139"/>
      <c r="D20" s="139"/>
      <c r="E20" s="139"/>
    </row>
    <row r="21" spans="1:5" ht="46.5" customHeight="1" x14ac:dyDescent="0.2">
      <c r="A21" s="142" t="s">
        <v>134</v>
      </c>
      <c r="B21" s="142"/>
      <c r="C21" s="142"/>
      <c r="D21" s="142"/>
      <c r="E21" s="142"/>
    </row>
    <row r="22" spans="1:5" ht="34.5" customHeight="1" x14ac:dyDescent="0.2">
      <c r="A22" s="8" t="s">
        <v>126</v>
      </c>
      <c r="B22" s="139" t="s">
        <v>142</v>
      </c>
      <c r="C22" s="139"/>
      <c r="D22" s="139"/>
      <c r="E22" s="139"/>
    </row>
    <row r="23" spans="1:5" ht="62.25" customHeight="1" x14ac:dyDescent="0.2">
      <c r="A23" s="8" t="s">
        <v>130</v>
      </c>
      <c r="B23" s="139" t="s">
        <v>139</v>
      </c>
      <c r="C23" s="139"/>
      <c r="D23" s="139"/>
      <c r="E23" s="139"/>
    </row>
    <row r="24" spans="1:5" x14ac:dyDescent="0.2">
      <c r="A24" s="143" t="s">
        <v>446</v>
      </c>
      <c r="B24" s="143"/>
      <c r="C24" s="143"/>
      <c r="D24" s="143"/>
      <c r="E24" s="143"/>
    </row>
    <row r="25" spans="1:5" ht="75.75" customHeight="1" x14ac:dyDescent="0.2">
      <c r="A25" s="8" t="s">
        <v>126</v>
      </c>
      <c r="B25" s="139" t="s">
        <v>141</v>
      </c>
      <c r="C25" s="139"/>
      <c r="D25" s="139"/>
      <c r="E25" s="139"/>
    </row>
    <row r="26" spans="1:5" x14ac:dyDescent="0.2">
      <c r="A26" s="8" t="s">
        <v>130</v>
      </c>
      <c r="B26" s="144" t="s">
        <v>137</v>
      </c>
      <c r="C26" s="144"/>
      <c r="D26" s="144"/>
      <c r="E26" s="144"/>
    </row>
    <row r="27" spans="1:5" ht="33.75" customHeight="1" x14ac:dyDescent="0.2">
      <c r="A27" s="142" t="s">
        <v>135</v>
      </c>
      <c r="B27" s="142"/>
      <c r="C27" s="142"/>
      <c r="D27" s="142"/>
      <c r="E27" s="142"/>
    </row>
    <row r="28" spans="1:5" ht="61.5" customHeight="1" x14ac:dyDescent="0.2">
      <c r="A28" s="8" t="s">
        <v>126</v>
      </c>
      <c r="B28" s="139" t="s">
        <v>140</v>
      </c>
      <c r="C28" s="139"/>
      <c r="D28" s="139"/>
      <c r="E28" s="139"/>
    </row>
    <row r="29" spans="1:5" ht="33" customHeight="1" x14ac:dyDescent="0.2">
      <c r="A29" s="8" t="s">
        <v>130</v>
      </c>
      <c r="B29" s="139" t="s">
        <v>138</v>
      </c>
      <c r="C29" s="139"/>
      <c r="D29" s="139"/>
      <c r="E29" s="139"/>
    </row>
    <row r="30" spans="1:5" x14ac:dyDescent="0.2">
      <c r="A30" s="109"/>
    </row>
  </sheetData>
  <mergeCells count="22">
    <mergeCell ref="A15:E15"/>
    <mergeCell ref="B19:E19"/>
    <mergeCell ref="A2:F2"/>
    <mergeCell ref="C3:F3"/>
    <mergeCell ref="A9:A10"/>
    <mergeCell ref="A11:A12"/>
    <mergeCell ref="A3:A4"/>
    <mergeCell ref="B3:B4"/>
    <mergeCell ref="A5:A6"/>
    <mergeCell ref="A7:A8"/>
    <mergeCell ref="B28:E28"/>
    <mergeCell ref="B29:E29"/>
    <mergeCell ref="A16:E16"/>
    <mergeCell ref="A21:E21"/>
    <mergeCell ref="A24:E24"/>
    <mergeCell ref="A27:E27"/>
    <mergeCell ref="B20:E20"/>
    <mergeCell ref="B22:E22"/>
    <mergeCell ref="B23:E23"/>
    <mergeCell ref="B25:E25"/>
    <mergeCell ref="B26:E26"/>
    <mergeCell ref="A17:E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K75"/>
  <sheetViews>
    <sheetView topLeftCell="A44" zoomScaleNormal="100" workbookViewId="0">
      <selection activeCell="A49" sqref="A49"/>
    </sheetView>
  </sheetViews>
  <sheetFormatPr baseColWidth="10" defaultRowHeight="15" x14ac:dyDescent="0.2"/>
  <cols>
    <col min="1" max="1" width="33.42578125" style="17" customWidth="1"/>
    <col min="2" max="2" width="29.140625" style="17" customWidth="1"/>
    <col min="3" max="3" width="35.42578125" style="17" customWidth="1"/>
    <col min="4" max="4" width="30" style="17" customWidth="1"/>
    <col min="5" max="5" width="30.7109375" style="17" customWidth="1"/>
    <col min="6" max="6" width="32.5703125" style="17" customWidth="1"/>
    <col min="7" max="7" width="37.140625" style="17" customWidth="1"/>
    <col min="8" max="8" width="15.5703125" style="17" customWidth="1"/>
    <col min="9" max="9" width="25.140625" style="17" customWidth="1"/>
    <col min="10" max="10" width="18.85546875" style="17" customWidth="1"/>
    <col min="11" max="11" width="26" style="17" customWidth="1"/>
    <col min="12" max="16384" width="11.42578125" style="17"/>
  </cols>
  <sheetData>
    <row r="2" spans="1:6" ht="15.75" x14ac:dyDescent="0.25">
      <c r="A2" s="147" t="s">
        <v>22</v>
      </c>
      <c r="B2" s="148"/>
      <c r="C2" s="148"/>
      <c r="D2" s="148"/>
      <c r="E2" s="148"/>
      <c r="F2" s="149"/>
    </row>
    <row r="3" spans="1:6" ht="15.75" x14ac:dyDescent="0.25">
      <c r="A3" s="20" t="s">
        <v>23</v>
      </c>
      <c r="B3" s="20" t="s">
        <v>24</v>
      </c>
      <c r="C3" s="20" t="s">
        <v>25</v>
      </c>
      <c r="D3" s="20" t="s">
        <v>26</v>
      </c>
      <c r="E3" s="20" t="s">
        <v>27</v>
      </c>
      <c r="F3" s="20" t="s">
        <v>28</v>
      </c>
    </row>
    <row r="4" spans="1:6" x14ac:dyDescent="0.2">
      <c r="A4" s="10">
        <v>1</v>
      </c>
      <c r="B4" s="10" t="s">
        <v>105</v>
      </c>
      <c r="C4" s="37" t="s">
        <v>436</v>
      </c>
      <c r="D4" s="37" t="s">
        <v>436</v>
      </c>
      <c r="E4" s="10" t="s">
        <v>105</v>
      </c>
      <c r="F4" s="37" t="s">
        <v>436</v>
      </c>
    </row>
    <row r="5" spans="1:6" x14ac:dyDescent="0.2">
      <c r="A5" s="10">
        <v>2</v>
      </c>
      <c r="B5" s="10" t="s">
        <v>435</v>
      </c>
      <c r="C5" s="10" t="s">
        <v>99</v>
      </c>
      <c r="D5" s="37" t="s">
        <v>99</v>
      </c>
      <c r="E5" s="10" t="s">
        <v>435</v>
      </c>
      <c r="F5" s="37" t="s">
        <v>113</v>
      </c>
    </row>
    <row r="6" spans="1:6" x14ac:dyDescent="0.2">
      <c r="A6" s="10">
        <v>3</v>
      </c>
      <c r="B6" s="10" t="s">
        <v>98</v>
      </c>
      <c r="C6" s="37" t="s">
        <v>98</v>
      </c>
      <c r="D6" s="37" t="s">
        <v>98</v>
      </c>
      <c r="E6" s="10" t="s">
        <v>437</v>
      </c>
      <c r="F6" s="37" t="s">
        <v>437</v>
      </c>
    </row>
    <row r="7" spans="1:6" x14ac:dyDescent="0.2">
      <c r="A7" s="10">
        <v>4</v>
      </c>
      <c r="B7" s="10" t="s">
        <v>99</v>
      </c>
      <c r="C7" s="10" t="s">
        <v>435</v>
      </c>
      <c r="D7" s="37" t="s">
        <v>435</v>
      </c>
      <c r="E7" s="10" t="s">
        <v>113</v>
      </c>
      <c r="F7" s="37" t="s">
        <v>435</v>
      </c>
    </row>
    <row r="8" spans="1:6" x14ac:dyDescent="0.2">
      <c r="A8" s="10">
        <v>5</v>
      </c>
      <c r="B8" s="10" t="s">
        <v>436</v>
      </c>
      <c r="C8" s="10" t="s">
        <v>101</v>
      </c>
      <c r="D8" s="37" t="s">
        <v>101</v>
      </c>
      <c r="E8" s="37" t="s">
        <v>436</v>
      </c>
      <c r="F8" s="10" t="s">
        <v>105</v>
      </c>
    </row>
    <row r="10" spans="1:6" ht="15.75" x14ac:dyDescent="0.25">
      <c r="A10" s="147" t="s">
        <v>32</v>
      </c>
      <c r="B10" s="148"/>
      <c r="C10" s="149"/>
    </row>
    <row r="11" spans="1:6" ht="15.75" x14ac:dyDescent="0.25">
      <c r="A11" s="20" t="s">
        <v>1</v>
      </c>
      <c r="B11" s="20" t="s">
        <v>33</v>
      </c>
      <c r="C11" s="20" t="s">
        <v>34</v>
      </c>
    </row>
    <row r="12" spans="1:6" x14ac:dyDescent="0.2">
      <c r="A12" s="37" t="s">
        <v>105</v>
      </c>
      <c r="B12" s="50">
        <f>('COMPARACION POR PUNTOS '!C16)</f>
        <v>6443500</v>
      </c>
      <c r="C12" s="50">
        <f>(B12/30)</f>
        <v>214783.33333333334</v>
      </c>
    </row>
    <row r="13" spans="1:6" x14ac:dyDescent="0.2">
      <c r="A13" s="37" t="s">
        <v>435</v>
      </c>
      <c r="B13" s="50">
        <f>('COMPARACION POR PUNTOS '!C17)</f>
        <v>5007625</v>
      </c>
      <c r="C13" s="50">
        <f t="shared" ref="C13:C16" si="0">(B13/30)</f>
        <v>166920.83333333334</v>
      </c>
    </row>
    <row r="14" spans="1:6" x14ac:dyDescent="0.2">
      <c r="A14" s="37" t="s">
        <v>98</v>
      </c>
      <c r="B14" s="50">
        <f>('COMPARACION POR PUNTOS '!C18)</f>
        <v>3571750</v>
      </c>
      <c r="C14" s="50">
        <f t="shared" si="0"/>
        <v>119058.33333333333</v>
      </c>
    </row>
    <row r="15" spans="1:6" x14ac:dyDescent="0.2">
      <c r="A15" s="37" t="s">
        <v>99</v>
      </c>
      <c r="B15" s="50">
        <f>('COMPARACION POR PUNTOS '!C19)</f>
        <v>2135875</v>
      </c>
      <c r="C15" s="50">
        <f t="shared" si="0"/>
        <v>71195.833333333328</v>
      </c>
    </row>
    <row r="16" spans="1:6" x14ac:dyDescent="0.2">
      <c r="A16" s="37" t="s">
        <v>436</v>
      </c>
      <c r="B16" s="50">
        <f>('COMPARACION POR PUNTOS '!C20)</f>
        <v>700000</v>
      </c>
      <c r="C16" s="50">
        <f t="shared" si="0"/>
        <v>23333.333333333332</v>
      </c>
    </row>
    <row r="19" spans="1:11" ht="15.75" x14ac:dyDescent="0.25">
      <c r="A19" s="147" t="s">
        <v>22</v>
      </c>
      <c r="B19" s="148"/>
      <c r="C19" s="148"/>
      <c r="D19" s="148"/>
      <c r="E19" s="148"/>
      <c r="F19" s="148"/>
      <c r="G19" s="149"/>
      <c r="H19" s="158" t="s">
        <v>439</v>
      </c>
    </row>
    <row r="20" spans="1:11" ht="15.75" x14ac:dyDescent="0.25">
      <c r="A20" s="20" t="s">
        <v>438</v>
      </c>
      <c r="B20" s="20" t="s">
        <v>29</v>
      </c>
      <c r="C20" s="20" t="s">
        <v>30</v>
      </c>
      <c r="D20" s="20" t="s">
        <v>31</v>
      </c>
      <c r="E20" s="20" t="s">
        <v>26</v>
      </c>
      <c r="F20" s="20" t="s">
        <v>27</v>
      </c>
      <c r="G20" s="20" t="s">
        <v>28</v>
      </c>
      <c r="H20" s="159"/>
    </row>
    <row r="21" spans="1:11" x14ac:dyDescent="0.2">
      <c r="A21" s="37" t="s">
        <v>105</v>
      </c>
      <c r="B21" s="10">
        <v>214</v>
      </c>
      <c r="C21" s="10">
        <v>136</v>
      </c>
      <c r="D21" s="10">
        <v>1</v>
      </c>
      <c r="E21" s="10">
        <v>3</v>
      </c>
      <c r="F21" s="10">
        <v>70</v>
      </c>
      <c r="G21" s="10">
        <v>4</v>
      </c>
      <c r="H21" s="37">
        <f>SUM(C21:G21)</f>
        <v>214</v>
      </c>
    </row>
    <row r="22" spans="1:11" x14ac:dyDescent="0.2">
      <c r="A22" s="37" t="s">
        <v>435</v>
      </c>
      <c r="B22" s="10">
        <v>166</v>
      </c>
      <c r="C22" s="10">
        <v>115</v>
      </c>
      <c r="D22" s="10">
        <v>2</v>
      </c>
      <c r="E22" s="10">
        <v>4</v>
      </c>
      <c r="F22" s="10">
        <v>40</v>
      </c>
      <c r="G22" s="10">
        <v>5</v>
      </c>
      <c r="H22" s="37">
        <f t="shared" ref="H22:H25" si="1">SUM(C22:G22)</f>
        <v>166</v>
      </c>
    </row>
    <row r="23" spans="1:11" x14ac:dyDescent="0.2">
      <c r="A23" s="37" t="s">
        <v>98</v>
      </c>
      <c r="B23" s="10">
        <v>119</v>
      </c>
      <c r="C23" s="10">
        <v>84</v>
      </c>
      <c r="D23" s="10">
        <v>3</v>
      </c>
      <c r="E23" s="10">
        <v>5</v>
      </c>
      <c r="F23" s="10">
        <v>20</v>
      </c>
      <c r="G23" s="10">
        <v>7</v>
      </c>
      <c r="H23" s="37">
        <f t="shared" si="1"/>
        <v>119</v>
      </c>
    </row>
    <row r="24" spans="1:11" x14ac:dyDescent="0.2">
      <c r="A24" s="37" t="s">
        <v>99</v>
      </c>
      <c r="B24" s="10">
        <v>71</v>
      </c>
      <c r="C24" s="10">
        <v>24</v>
      </c>
      <c r="D24" s="10">
        <v>4</v>
      </c>
      <c r="E24" s="10">
        <v>7</v>
      </c>
      <c r="F24" s="10">
        <v>30</v>
      </c>
      <c r="G24" s="10">
        <v>6</v>
      </c>
      <c r="H24" s="37">
        <f t="shared" si="1"/>
        <v>71</v>
      </c>
    </row>
    <row r="25" spans="1:11" x14ac:dyDescent="0.2">
      <c r="A25" s="37" t="s">
        <v>436</v>
      </c>
      <c r="B25" s="10">
        <v>23</v>
      </c>
      <c r="C25" s="10">
        <v>1</v>
      </c>
      <c r="D25" s="10">
        <v>5</v>
      </c>
      <c r="E25" s="10">
        <v>8</v>
      </c>
      <c r="F25" s="10">
        <v>1</v>
      </c>
      <c r="G25" s="10">
        <v>8</v>
      </c>
      <c r="H25" s="37">
        <f t="shared" si="1"/>
        <v>23</v>
      </c>
    </row>
    <row r="28" spans="1:11" ht="15.75" x14ac:dyDescent="0.2">
      <c r="A28" s="150" t="s">
        <v>1</v>
      </c>
      <c r="B28" s="156" t="s">
        <v>30</v>
      </c>
      <c r="C28" s="157"/>
      <c r="D28" s="156" t="s">
        <v>31</v>
      </c>
      <c r="E28" s="157"/>
      <c r="F28" s="156" t="s">
        <v>26</v>
      </c>
      <c r="G28" s="157"/>
      <c r="H28" s="156" t="s">
        <v>27</v>
      </c>
      <c r="I28" s="157"/>
      <c r="J28" s="156" t="s">
        <v>28</v>
      </c>
      <c r="K28" s="157"/>
    </row>
    <row r="29" spans="1:11" ht="15.75" x14ac:dyDescent="0.2">
      <c r="A29" s="151"/>
      <c r="B29" s="21" t="s">
        <v>35</v>
      </c>
      <c r="C29" s="21" t="s">
        <v>15</v>
      </c>
      <c r="D29" s="21" t="s">
        <v>35</v>
      </c>
      <c r="E29" s="21" t="s">
        <v>15</v>
      </c>
      <c r="F29" s="21" t="s">
        <v>35</v>
      </c>
      <c r="G29" s="21" t="s">
        <v>15</v>
      </c>
      <c r="H29" s="21" t="s">
        <v>36</v>
      </c>
      <c r="I29" s="21" t="s">
        <v>15</v>
      </c>
      <c r="J29" s="21" t="s">
        <v>36</v>
      </c>
      <c r="K29" s="21" t="s">
        <v>37</v>
      </c>
    </row>
    <row r="30" spans="1:11" x14ac:dyDescent="0.2">
      <c r="A30" s="37" t="s">
        <v>105</v>
      </c>
      <c r="B30" s="10">
        <v>1</v>
      </c>
      <c r="C30" s="10">
        <v>1</v>
      </c>
      <c r="D30" s="10">
        <v>5</v>
      </c>
      <c r="E30" s="10">
        <v>5</v>
      </c>
      <c r="F30" s="10">
        <v>5</v>
      </c>
      <c r="G30" s="10">
        <v>5</v>
      </c>
      <c r="H30" s="10">
        <v>1</v>
      </c>
      <c r="I30" s="10">
        <v>1</v>
      </c>
      <c r="J30" s="10">
        <v>5</v>
      </c>
      <c r="K30" s="10">
        <v>5</v>
      </c>
    </row>
    <row r="31" spans="1:11" x14ac:dyDescent="0.2">
      <c r="A31" s="37" t="s">
        <v>435</v>
      </c>
      <c r="B31" s="10">
        <v>2</v>
      </c>
      <c r="C31" s="10">
        <v>2</v>
      </c>
      <c r="D31" s="10">
        <v>4</v>
      </c>
      <c r="E31" s="10">
        <v>4</v>
      </c>
      <c r="F31" s="10">
        <v>4</v>
      </c>
      <c r="G31" s="10">
        <v>4</v>
      </c>
      <c r="H31" s="10">
        <v>2</v>
      </c>
      <c r="I31" s="10">
        <v>2</v>
      </c>
      <c r="J31" s="10">
        <v>4</v>
      </c>
      <c r="K31" s="10">
        <v>4</v>
      </c>
    </row>
    <row r="32" spans="1:11" x14ac:dyDescent="0.2">
      <c r="A32" s="37" t="s">
        <v>98</v>
      </c>
      <c r="B32" s="10">
        <v>3</v>
      </c>
      <c r="C32" s="10">
        <v>3</v>
      </c>
      <c r="D32" s="10">
        <v>3</v>
      </c>
      <c r="E32" s="10">
        <v>3</v>
      </c>
      <c r="F32" s="10">
        <v>3</v>
      </c>
      <c r="G32" s="10">
        <v>3</v>
      </c>
      <c r="H32" s="10">
        <v>4</v>
      </c>
      <c r="I32" s="10">
        <v>4</v>
      </c>
      <c r="J32" s="10">
        <v>2</v>
      </c>
      <c r="K32" s="10">
        <v>2</v>
      </c>
    </row>
    <row r="33" spans="1:11" x14ac:dyDescent="0.2">
      <c r="A33" s="37" t="s">
        <v>99</v>
      </c>
      <c r="B33" s="10">
        <v>4</v>
      </c>
      <c r="C33" s="10">
        <v>4</v>
      </c>
      <c r="D33" s="10">
        <v>2</v>
      </c>
      <c r="E33" s="10">
        <v>2</v>
      </c>
      <c r="F33" s="10">
        <v>2</v>
      </c>
      <c r="G33" s="10">
        <v>2</v>
      </c>
      <c r="H33" s="10">
        <v>3</v>
      </c>
      <c r="I33" s="10">
        <v>3</v>
      </c>
      <c r="J33" s="10">
        <v>3</v>
      </c>
      <c r="K33" s="10">
        <v>3</v>
      </c>
    </row>
    <row r="34" spans="1:11" x14ac:dyDescent="0.2">
      <c r="A34" s="37" t="s">
        <v>436</v>
      </c>
      <c r="B34" s="10">
        <v>5</v>
      </c>
      <c r="C34" s="10">
        <v>5</v>
      </c>
      <c r="D34" s="10">
        <v>1</v>
      </c>
      <c r="E34" s="10">
        <v>1</v>
      </c>
      <c r="F34" s="10">
        <v>1</v>
      </c>
      <c r="G34" s="10">
        <v>1</v>
      </c>
      <c r="H34" s="10">
        <v>5</v>
      </c>
      <c r="I34" s="10">
        <v>5</v>
      </c>
      <c r="J34" s="10">
        <v>1</v>
      </c>
      <c r="K34" s="10">
        <v>1</v>
      </c>
    </row>
    <row r="35" spans="1:11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ht="15.75" x14ac:dyDescent="0.2">
      <c r="A37" s="150" t="s">
        <v>1</v>
      </c>
      <c r="B37" s="156" t="s">
        <v>30</v>
      </c>
      <c r="C37" s="157"/>
      <c r="D37" s="156" t="s">
        <v>31</v>
      </c>
      <c r="E37" s="157"/>
      <c r="F37" s="156" t="s">
        <v>26</v>
      </c>
      <c r="G37" s="157"/>
      <c r="H37" s="156" t="s">
        <v>27</v>
      </c>
      <c r="I37" s="157"/>
      <c r="J37" s="156" t="s">
        <v>28</v>
      </c>
      <c r="K37" s="157"/>
    </row>
    <row r="38" spans="1:11" ht="15.75" x14ac:dyDescent="0.2">
      <c r="A38" s="151"/>
      <c r="B38" s="21" t="s">
        <v>35</v>
      </c>
      <c r="C38" s="21" t="s">
        <v>15</v>
      </c>
      <c r="D38" s="21" t="s">
        <v>35</v>
      </c>
      <c r="E38" s="21" t="s">
        <v>15</v>
      </c>
      <c r="F38" s="21" t="s">
        <v>35</v>
      </c>
      <c r="G38" s="21" t="s">
        <v>15</v>
      </c>
      <c r="H38" s="21" t="s">
        <v>36</v>
      </c>
      <c r="I38" s="21" t="s">
        <v>15</v>
      </c>
      <c r="J38" s="21" t="s">
        <v>36</v>
      </c>
      <c r="K38" s="21" t="s">
        <v>37</v>
      </c>
    </row>
    <row r="39" spans="1:11" x14ac:dyDescent="0.2">
      <c r="A39" s="37" t="s">
        <v>105</v>
      </c>
      <c r="B39" s="37">
        <v>1</v>
      </c>
      <c r="C39" s="37">
        <v>136</v>
      </c>
      <c r="D39" s="37">
        <v>5</v>
      </c>
      <c r="E39" s="37">
        <v>1</v>
      </c>
      <c r="F39" s="37">
        <v>5</v>
      </c>
      <c r="G39" s="37">
        <v>3</v>
      </c>
      <c r="H39" s="37">
        <v>1</v>
      </c>
      <c r="I39" s="37">
        <v>70</v>
      </c>
      <c r="J39" s="37">
        <v>5</v>
      </c>
      <c r="K39" s="37">
        <v>4</v>
      </c>
    </row>
    <row r="40" spans="1:11" x14ac:dyDescent="0.2">
      <c r="A40" s="37" t="s">
        <v>435</v>
      </c>
      <c r="B40" s="37">
        <v>2</v>
      </c>
      <c r="C40" s="37">
        <v>115</v>
      </c>
      <c r="D40" s="37">
        <v>4</v>
      </c>
      <c r="E40" s="37">
        <v>2</v>
      </c>
      <c r="F40" s="37">
        <v>4</v>
      </c>
      <c r="G40" s="37">
        <v>4</v>
      </c>
      <c r="H40" s="37">
        <v>2</v>
      </c>
      <c r="I40" s="37">
        <v>40</v>
      </c>
      <c r="J40" s="37">
        <v>4</v>
      </c>
      <c r="K40" s="37">
        <v>5</v>
      </c>
    </row>
    <row r="41" spans="1:11" x14ac:dyDescent="0.2">
      <c r="A41" s="37" t="s">
        <v>98</v>
      </c>
      <c r="B41" s="37">
        <v>3</v>
      </c>
      <c r="C41" s="37">
        <v>84</v>
      </c>
      <c r="D41" s="37">
        <v>3</v>
      </c>
      <c r="E41" s="37">
        <v>3</v>
      </c>
      <c r="F41" s="37">
        <v>3</v>
      </c>
      <c r="G41" s="37">
        <v>5</v>
      </c>
      <c r="H41" s="37">
        <v>4</v>
      </c>
      <c r="I41" s="37">
        <v>20</v>
      </c>
      <c r="J41" s="37">
        <v>2</v>
      </c>
      <c r="K41" s="37">
        <v>7</v>
      </c>
    </row>
    <row r="42" spans="1:11" x14ac:dyDescent="0.2">
      <c r="A42" s="37" t="s">
        <v>99</v>
      </c>
      <c r="B42" s="37">
        <v>4</v>
      </c>
      <c r="C42" s="37">
        <v>24</v>
      </c>
      <c r="D42" s="37">
        <v>2</v>
      </c>
      <c r="E42" s="37">
        <v>4</v>
      </c>
      <c r="F42" s="37">
        <v>2</v>
      </c>
      <c r="G42" s="37">
        <v>7</v>
      </c>
      <c r="H42" s="37">
        <v>3</v>
      </c>
      <c r="I42" s="37">
        <v>30</v>
      </c>
      <c r="J42" s="37">
        <v>3</v>
      </c>
      <c r="K42" s="37">
        <v>6</v>
      </c>
    </row>
    <row r="43" spans="1:11" x14ac:dyDescent="0.2">
      <c r="A43" s="37" t="s">
        <v>436</v>
      </c>
      <c r="B43" s="37">
        <v>5</v>
      </c>
      <c r="C43" s="37">
        <v>1</v>
      </c>
      <c r="D43" s="37">
        <v>1</v>
      </c>
      <c r="E43" s="37">
        <v>5</v>
      </c>
      <c r="F43" s="37">
        <v>1</v>
      </c>
      <c r="G43" s="37">
        <v>8</v>
      </c>
      <c r="H43" s="37">
        <v>5</v>
      </c>
      <c r="I43" s="37">
        <v>1</v>
      </c>
      <c r="J43" s="37">
        <v>1</v>
      </c>
      <c r="K43" s="37">
        <v>8</v>
      </c>
    </row>
    <row r="44" spans="1:11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</row>
    <row r="48" spans="1:11" ht="15.75" x14ac:dyDescent="0.2">
      <c r="A48" s="104" t="s">
        <v>440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</row>
    <row r="49" spans="1:11" ht="15.75" x14ac:dyDescent="0.2">
      <c r="A49" s="104"/>
      <c r="B49" s="102"/>
      <c r="C49" s="102"/>
      <c r="D49" s="102"/>
      <c r="E49" s="102"/>
      <c r="F49" s="102"/>
      <c r="G49" s="102"/>
      <c r="H49" s="102"/>
      <c r="I49" s="102"/>
      <c r="J49" s="102"/>
      <c r="K49" s="102"/>
    </row>
    <row r="50" spans="1:11" ht="15.75" x14ac:dyDescent="0.25">
      <c r="A50" s="106" t="s">
        <v>15</v>
      </c>
      <c r="B50" s="106" t="s">
        <v>441</v>
      </c>
      <c r="C50" s="106" t="s">
        <v>25</v>
      </c>
      <c r="D50" s="106" t="s">
        <v>442</v>
      </c>
      <c r="E50" s="106" t="s">
        <v>71</v>
      </c>
      <c r="F50" s="106" t="s">
        <v>443</v>
      </c>
      <c r="G50" s="103"/>
      <c r="H50" s="103"/>
      <c r="I50" s="103"/>
      <c r="J50" s="103"/>
      <c r="K50" s="103"/>
    </row>
    <row r="51" spans="1:11" x14ac:dyDescent="0.2">
      <c r="A51" s="107">
        <v>1</v>
      </c>
      <c r="B51" s="105" t="s">
        <v>436</v>
      </c>
      <c r="C51" s="105" t="s">
        <v>105</v>
      </c>
      <c r="D51" s="105"/>
      <c r="E51" s="105" t="s">
        <v>436</v>
      </c>
      <c r="F51" s="105"/>
      <c r="G51" s="103"/>
      <c r="H51" s="103"/>
      <c r="I51" s="103"/>
      <c r="J51" s="103"/>
      <c r="K51" s="103"/>
    </row>
    <row r="52" spans="1:11" x14ac:dyDescent="0.2">
      <c r="A52" s="107">
        <v>2</v>
      </c>
      <c r="B52" s="105"/>
      <c r="C52" s="105" t="s">
        <v>435</v>
      </c>
      <c r="D52" s="105"/>
      <c r="E52" s="105"/>
      <c r="F52" s="105"/>
      <c r="G52" s="103"/>
      <c r="H52" s="103"/>
      <c r="I52" s="103"/>
      <c r="J52" s="103"/>
      <c r="K52" s="103"/>
    </row>
    <row r="53" spans="1:11" x14ac:dyDescent="0.2">
      <c r="A53" s="107">
        <v>3</v>
      </c>
      <c r="B53" s="105"/>
      <c r="C53" s="105" t="s">
        <v>444</v>
      </c>
      <c r="D53" s="105" t="s">
        <v>105</v>
      </c>
      <c r="E53" s="105"/>
      <c r="F53" s="105"/>
      <c r="G53" s="103"/>
      <c r="H53" s="103"/>
      <c r="I53" s="103"/>
      <c r="J53" s="103"/>
      <c r="K53" s="103"/>
    </row>
    <row r="54" spans="1:11" x14ac:dyDescent="0.2">
      <c r="A54" s="107">
        <v>4</v>
      </c>
      <c r="B54" s="105"/>
      <c r="C54" s="105" t="s">
        <v>99</v>
      </c>
      <c r="D54" s="105" t="s">
        <v>435</v>
      </c>
      <c r="E54" s="105"/>
      <c r="F54" s="105" t="s">
        <v>105</v>
      </c>
      <c r="G54" s="103"/>
      <c r="H54" s="103"/>
      <c r="I54" s="103"/>
      <c r="J54" s="103"/>
      <c r="K54" s="103"/>
    </row>
    <row r="55" spans="1:11" x14ac:dyDescent="0.2">
      <c r="A55" s="107">
        <v>5</v>
      </c>
      <c r="B55" s="37"/>
      <c r="C55" s="105" t="s">
        <v>436</v>
      </c>
      <c r="D55" s="37" t="s">
        <v>444</v>
      </c>
      <c r="E55" s="37"/>
      <c r="F55" s="37" t="s">
        <v>445</v>
      </c>
    </row>
    <row r="56" spans="1:11" x14ac:dyDescent="0.2">
      <c r="A56" s="107">
        <v>6</v>
      </c>
      <c r="B56" s="37"/>
      <c r="C56" s="37"/>
      <c r="D56" s="37"/>
      <c r="E56" s="37"/>
      <c r="F56" s="37" t="s">
        <v>99</v>
      </c>
    </row>
    <row r="57" spans="1:11" x14ac:dyDescent="0.2">
      <c r="A57" s="107">
        <v>7</v>
      </c>
      <c r="B57" s="37"/>
      <c r="C57" s="37"/>
      <c r="D57" s="37" t="s">
        <v>99</v>
      </c>
      <c r="E57" s="37"/>
      <c r="F57" s="37" t="s">
        <v>444</v>
      </c>
    </row>
    <row r="58" spans="1:11" x14ac:dyDescent="0.2">
      <c r="A58" s="107">
        <v>8</v>
      </c>
      <c r="B58" s="37"/>
      <c r="C58" s="37"/>
      <c r="D58" s="105" t="s">
        <v>436</v>
      </c>
      <c r="E58" s="37"/>
      <c r="F58" s="37" t="s">
        <v>436</v>
      </c>
    </row>
    <row r="59" spans="1:11" x14ac:dyDescent="0.2">
      <c r="A59" s="107">
        <v>9</v>
      </c>
      <c r="B59" s="37"/>
      <c r="C59" s="37"/>
      <c r="D59" s="37"/>
      <c r="E59" s="37"/>
      <c r="F59" s="37"/>
    </row>
    <row r="60" spans="1:11" x14ac:dyDescent="0.2">
      <c r="A60" s="107">
        <v>10</v>
      </c>
      <c r="B60" s="37"/>
      <c r="C60" s="37"/>
      <c r="D60" s="37"/>
      <c r="E60" s="37"/>
      <c r="F60" s="37"/>
    </row>
    <row r="61" spans="1:11" x14ac:dyDescent="0.2">
      <c r="A61" s="107">
        <v>20</v>
      </c>
      <c r="B61" s="37"/>
      <c r="C61" s="37"/>
      <c r="D61" s="37"/>
      <c r="E61" s="37" t="s">
        <v>444</v>
      </c>
      <c r="F61" s="37"/>
    </row>
    <row r="62" spans="1:11" x14ac:dyDescent="0.2">
      <c r="A62" s="107">
        <v>24</v>
      </c>
      <c r="B62" s="37" t="s">
        <v>99</v>
      </c>
      <c r="C62" s="37"/>
      <c r="D62" s="37"/>
      <c r="E62" s="37"/>
      <c r="F62" s="37"/>
    </row>
    <row r="63" spans="1:11" x14ac:dyDescent="0.2">
      <c r="A63" s="107">
        <v>30</v>
      </c>
      <c r="B63" s="37"/>
      <c r="C63" s="37"/>
      <c r="D63" s="37"/>
      <c r="E63" s="37" t="s">
        <v>99</v>
      </c>
      <c r="F63" s="37"/>
    </row>
    <row r="64" spans="1:11" x14ac:dyDescent="0.2">
      <c r="A64" s="107">
        <v>40</v>
      </c>
      <c r="B64" s="37"/>
      <c r="C64" s="37"/>
      <c r="D64" s="37"/>
      <c r="E64" s="37" t="s">
        <v>435</v>
      </c>
      <c r="F64" s="37"/>
    </row>
    <row r="65" spans="1:6" x14ac:dyDescent="0.2">
      <c r="A65" s="107">
        <v>50</v>
      </c>
      <c r="B65" s="37"/>
      <c r="C65" s="37"/>
      <c r="D65" s="37"/>
      <c r="E65" s="37"/>
      <c r="F65" s="37"/>
    </row>
    <row r="66" spans="1:6" x14ac:dyDescent="0.2">
      <c r="A66" s="107">
        <v>60</v>
      </c>
      <c r="B66" s="37"/>
      <c r="C66" s="37"/>
      <c r="D66" s="37"/>
      <c r="E66" s="37"/>
      <c r="F66" s="37"/>
    </row>
    <row r="67" spans="1:6" x14ac:dyDescent="0.2">
      <c r="A67" s="107">
        <v>70</v>
      </c>
      <c r="B67" s="37"/>
      <c r="C67" s="37"/>
      <c r="D67" s="37"/>
      <c r="E67" s="37" t="s">
        <v>105</v>
      </c>
      <c r="F67" s="37"/>
    </row>
    <row r="68" spans="1:6" x14ac:dyDescent="0.2">
      <c r="A68" s="107">
        <v>80</v>
      </c>
      <c r="B68" s="37"/>
      <c r="C68" s="37"/>
      <c r="D68" s="37"/>
      <c r="E68" s="37"/>
      <c r="F68" s="37"/>
    </row>
    <row r="69" spans="1:6" x14ac:dyDescent="0.2">
      <c r="A69" s="107">
        <v>84</v>
      </c>
      <c r="B69" s="37" t="s">
        <v>444</v>
      </c>
      <c r="C69" s="37"/>
      <c r="D69" s="37"/>
      <c r="E69" s="37"/>
      <c r="F69" s="37"/>
    </row>
    <row r="70" spans="1:6" x14ac:dyDescent="0.2">
      <c r="A70" s="107">
        <v>90</v>
      </c>
      <c r="B70" s="37"/>
      <c r="C70" s="37"/>
      <c r="D70" s="37"/>
      <c r="E70" s="37"/>
      <c r="F70" s="37"/>
    </row>
    <row r="71" spans="1:6" x14ac:dyDescent="0.2">
      <c r="A71" s="107">
        <v>100</v>
      </c>
      <c r="B71" s="37"/>
      <c r="C71" s="37"/>
      <c r="D71" s="37"/>
      <c r="E71" s="37"/>
      <c r="F71" s="37"/>
    </row>
    <row r="72" spans="1:6" x14ac:dyDescent="0.2">
      <c r="A72" s="107">
        <v>115</v>
      </c>
      <c r="B72" s="37" t="s">
        <v>435</v>
      </c>
      <c r="C72" s="37"/>
      <c r="D72" s="37"/>
      <c r="E72" s="37"/>
      <c r="F72" s="37"/>
    </row>
    <row r="73" spans="1:6" x14ac:dyDescent="0.2">
      <c r="A73" s="107">
        <v>120</v>
      </c>
      <c r="B73" s="37"/>
      <c r="C73" s="37"/>
      <c r="D73" s="37"/>
      <c r="E73" s="37"/>
      <c r="F73" s="37"/>
    </row>
    <row r="74" spans="1:6" x14ac:dyDescent="0.2">
      <c r="A74" s="107">
        <v>130</v>
      </c>
      <c r="B74" s="37"/>
      <c r="C74" s="37"/>
      <c r="D74" s="37"/>
      <c r="E74" s="37"/>
      <c r="F74" s="37"/>
    </row>
    <row r="75" spans="1:6" x14ac:dyDescent="0.2">
      <c r="A75" s="107">
        <v>136</v>
      </c>
      <c r="B75" s="37" t="s">
        <v>105</v>
      </c>
      <c r="C75" s="37"/>
      <c r="D75" s="37"/>
      <c r="E75" s="37"/>
      <c r="F75" s="37"/>
    </row>
  </sheetData>
  <mergeCells count="16">
    <mergeCell ref="A2:F2"/>
    <mergeCell ref="A10:C10"/>
    <mergeCell ref="A19:G19"/>
    <mergeCell ref="A28:A29"/>
    <mergeCell ref="B28:C28"/>
    <mergeCell ref="D28:E28"/>
    <mergeCell ref="F28:G28"/>
    <mergeCell ref="J37:K37"/>
    <mergeCell ref="H19:H20"/>
    <mergeCell ref="A37:A38"/>
    <mergeCell ref="B37:C37"/>
    <mergeCell ref="D37:E37"/>
    <mergeCell ref="F37:G37"/>
    <mergeCell ref="H37:I37"/>
    <mergeCell ref="H28:I28"/>
    <mergeCell ref="J28:K28"/>
  </mergeCells>
  <pageMargins left="0.7" right="0.7" top="0.75" bottom="0.75" header="0.3" footer="0.3"/>
  <ignoredErrors>
    <ignoredError sqref="H21:H2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H12"/>
  <sheetViews>
    <sheetView workbookViewId="0">
      <selection activeCell="E8" sqref="E8"/>
    </sheetView>
  </sheetViews>
  <sheetFormatPr baseColWidth="10" defaultColWidth="26.7109375" defaultRowHeight="15" x14ac:dyDescent="0.2"/>
  <cols>
    <col min="1" max="1" width="26.7109375" style="1"/>
    <col min="2" max="2" width="23.5703125" style="1" customWidth="1"/>
    <col min="3" max="3" width="24.5703125" style="1" customWidth="1"/>
    <col min="4" max="4" width="25.42578125" style="1" customWidth="1"/>
    <col min="5" max="5" width="26.7109375" style="1"/>
    <col min="6" max="6" width="23.5703125" style="1" customWidth="1"/>
    <col min="7" max="7" width="21.85546875" style="1" customWidth="1"/>
    <col min="8" max="16384" width="26.7109375" style="1"/>
  </cols>
  <sheetData>
    <row r="2" spans="1:8" x14ac:dyDescent="0.2">
      <c r="A2" s="160"/>
      <c r="B2" s="161"/>
      <c r="C2" s="161"/>
      <c r="D2" s="161"/>
      <c r="E2" s="161"/>
      <c r="F2" s="161"/>
      <c r="G2" s="162"/>
      <c r="H2" s="18"/>
    </row>
    <row r="3" spans="1:8" ht="15.75" x14ac:dyDescent="0.25">
      <c r="A3" s="154" t="s">
        <v>49</v>
      </c>
      <c r="B3" s="163" t="s">
        <v>66</v>
      </c>
      <c r="C3" s="164"/>
      <c r="D3" s="164"/>
      <c r="E3" s="164"/>
      <c r="F3" s="164"/>
      <c r="G3" s="165"/>
      <c r="H3" s="18"/>
    </row>
    <row r="4" spans="1:8" ht="15.75" x14ac:dyDescent="0.2">
      <c r="A4" s="155"/>
      <c r="B4" s="22" t="s">
        <v>38</v>
      </c>
      <c r="C4" s="22" t="s">
        <v>39</v>
      </c>
      <c r="D4" s="22" t="s">
        <v>40</v>
      </c>
      <c r="E4" s="22" t="s">
        <v>41</v>
      </c>
      <c r="F4" s="22" t="s">
        <v>42</v>
      </c>
      <c r="G4" s="22" t="s">
        <v>43</v>
      </c>
      <c r="H4" s="18"/>
    </row>
    <row r="5" spans="1:8" ht="15.75" x14ac:dyDescent="0.2">
      <c r="A5" s="22" t="s">
        <v>44</v>
      </c>
      <c r="B5" s="34" t="s">
        <v>72</v>
      </c>
      <c r="C5" s="34" t="s">
        <v>73</v>
      </c>
      <c r="D5" s="34" t="s">
        <v>74</v>
      </c>
      <c r="E5" s="34" t="s">
        <v>75</v>
      </c>
      <c r="F5" s="38" t="s">
        <v>431</v>
      </c>
      <c r="G5" s="38" t="s">
        <v>76</v>
      </c>
      <c r="H5" s="18"/>
    </row>
    <row r="6" spans="1:8" ht="15.75" x14ac:dyDescent="0.2">
      <c r="A6" s="22" t="s">
        <v>45</v>
      </c>
      <c r="B6" s="34" t="s">
        <v>77</v>
      </c>
      <c r="C6" s="34" t="s">
        <v>78</v>
      </c>
      <c r="D6" s="34" t="s">
        <v>79</v>
      </c>
      <c r="E6" s="34" t="s">
        <v>80</v>
      </c>
      <c r="F6" s="34" t="s">
        <v>81</v>
      </c>
      <c r="G6" s="34"/>
      <c r="H6" s="18"/>
    </row>
    <row r="7" spans="1:8" ht="45" x14ac:dyDescent="0.2">
      <c r="A7" s="22" t="s">
        <v>46</v>
      </c>
      <c r="B7" s="34" t="s">
        <v>88</v>
      </c>
      <c r="C7" s="34" t="s">
        <v>89</v>
      </c>
      <c r="D7" s="34" t="s">
        <v>90</v>
      </c>
      <c r="E7" s="34" t="s">
        <v>91</v>
      </c>
      <c r="F7" s="34"/>
      <c r="G7" s="34"/>
      <c r="H7" s="18"/>
    </row>
    <row r="8" spans="1:8" ht="58.5" customHeight="1" x14ac:dyDescent="0.2">
      <c r="A8" s="22" t="s">
        <v>48</v>
      </c>
      <c r="B8" s="34" t="s">
        <v>82</v>
      </c>
      <c r="C8" s="34" t="s">
        <v>83</v>
      </c>
      <c r="D8" s="34" t="s">
        <v>429</v>
      </c>
      <c r="E8" s="34" t="s">
        <v>430</v>
      </c>
      <c r="F8" s="34"/>
      <c r="G8" s="34"/>
      <c r="H8" s="18"/>
    </row>
    <row r="9" spans="1:8" ht="30" x14ac:dyDescent="0.2">
      <c r="A9" s="22" t="s">
        <v>27</v>
      </c>
      <c r="B9" s="34" t="s">
        <v>84</v>
      </c>
      <c r="C9" s="34" t="s">
        <v>432</v>
      </c>
      <c r="D9" s="34" t="s">
        <v>433</v>
      </c>
      <c r="E9" s="34"/>
      <c r="F9" s="34"/>
      <c r="G9" s="34"/>
      <c r="H9" s="18"/>
    </row>
    <row r="10" spans="1:8" ht="31.5" x14ac:dyDescent="0.2">
      <c r="A10" s="22" t="s">
        <v>28</v>
      </c>
      <c r="B10" s="34" t="s">
        <v>85</v>
      </c>
      <c r="C10" s="34" t="s">
        <v>434</v>
      </c>
      <c r="D10" s="34" t="s">
        <v>86</v>
      </c>
      <c r="E10" s="34" t="s">
        <v>87</v>
      </c>
      <c r="F10" s="34"/>
      <c r="G10" s="34"/>
      <c r="H10" s="18"/>
    </row>
    <row r="12" spans="1:8" ht="39" customHeight="1" x14ac:dyDescent="0.2"/>
  </sheetData>
  <mergeCells count="3">
    <mergeCell ref="A2:G2"/>
    <mergeCell ref="A3:A4"/>
    <mergeCell ref="B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2:E12"/>
  <sheetViews>
    <sheetView workbookViewId="0">
      <selection activeCell="C1" sqref="C1"/>
    </sheetView>
  </sheetViews>
  <sheetFormatPr baseColWidth="10" defaultColWidth="33.28515625" defaultRowHeight="39.75" customHeight="1" x14ac:dyDescent="0.2"/>
  <cols>
    <col min="1" max="16384" width="33.28515625" style="1"/>
  </cols>
  <sheetData>
    <row r="2" spans="1:5" ht="39.75" customHeight="1" x14ac:dyDescent="0.2">
      <c r="A2" s="21" t="s">
        <v>49</v>
      </c>
      <c r="B2" s="21" t="s">
        <v>50</v>
      </c>
      <c r="C2" s="21" t="s">
        <v>51</v>
      </c>
      <c r="D2" s="21" t="s">
        <v>95</v>
      </c>
      <c r="E2" s="21" t="s">
        <v>52</v>
      </c>
    </row>
    <row r="3" spans="1:5" ht="39.75" customHeight="1" x14ac:dyDescent="0.2">
      <c r="A3" s="7" t="s">
        <v>44</v>
      </c>
      <c r="B3" s="38">
        <v>20</v>
      </c>
      <c r="C3" s="38">
        <f t="shared" ref="C3:C8" si="0">(B3*$B$11)/100</f>
        <v>140</v>
      </c>
      <c r="D3" s="38">
        <v>10</v>
      </c>
      <c r="E3" s="38">
        <f>C3/$D$3</f>
        <v>14</v>
      </c>
    </row>
    <row r="4" spans="1:5" ht="39.75" customHeight="1" x14ac:dyDescent="0.2">
      <c r="A4" s="7" t="s">
        <v>68</v>
      </c>
      <c r="B4" s="38">
        <v>10</v>
      </c>
      <c r="C4" s="38">
        <f t="shared" si="0"/>
        <v>70</v>
      </c>
      <c r="D4" s="38">
        <v>10</v>
      </c>
      <c r="E4" s="38">
        <f t="shared" ref="E4:E8" si="1">C4/$D$3</f>
        <v>7</v>
      </c>
    </row>
    <row r="5" spans="1:5" ht="39.75" customHeight="1" x14ac:dyDescent="0.2">
      <c r="A5" s="7" t="s">
        <v>92</v>
      </c>
      <c r="B5" s="38">
        <v>30</v>
      </c>
      <c r="C5" s="38">
        <f t="shared" si="0"/>
        <v>210</v>
      </c>
      <c r="D5" s="38">
        <v>10</v>
      </c>
      <c r="E5" s="38">
        <f t="shared" si="1"/>
        <v>21</v>
      </c>
    </row>
    <row r="6" spans="1:5" ht="39.75" customHeight="1" x14ac:dyDescent="0.2">
      <c r="A6" s="7" t="s">
        <v>70</v>
      </c>
      <c r="B6" s="38">
        <v>10</v>
      </c>
      <c r="C6" s="38">
        <f t="shared" si="0"/>
        <v>70</v>
      </c>
      <c r="D6" s="38">
        <v>10</v>
      </c>
      <c r="E6" s="38">
        <f t="shared" si="1"/>
        <v>7</v>
      </c>
    </row>
    <row r="7" spans="1:5" ht="39.75" customHeight="1" x14ac:dyDescent="0.2">
      <c r="A7" s="7" t="s">
        <v>93</v>
      </c>
      <c r="B7" s="38">
        <v>10</v>
      </c>
      <c r="C7" s="38">
        <f t="shared" si="0"/>
        <v>70</v>
      </c>
      <c r="D7" s="38">
        <v>10</v>
      </c>
      <c r="E7" s="38">
        <f t="shared" si="1"/>
        <v>7</v>
      </c>
    </row>
    <row r="8" spans="1:5" ht="39.75" customHeight="1" x14ac:dyDescent="0.2">
      <c r="A8" s="7" t="s">
        <v>94</v>
      </c>
      <c r="B8" s="38">
        <v>20</v>
      </c>
      <c r="C8" s="38">
        <f t="shared" si="0"/>
        <v>140</v>
      </c>
      <c r="D8" s="38">
        <v>10</v>
      </c>
      <c r="E8" s="38">
        <f t="shared" si="1"/>
        <v>14</v>
      </c>
    </row>
    <row r="9" spans="1:5" ht="39.75" customHeight="1" x14ac:dyDescent="0.2">
      <c r="A9" s="39" t="s">
        <v>127</v>
      </c>
      <c r="B9" s="8">
        <f>SUM(B3:B8)</f>
        <v>100</v>
      </c>
      <c r="C9" s="40">
        <f>SUM(C3:C8)</f>
        <v>700</v>
      </c>
      <c r="D9" s="8"/>
      <c r="E9" s="8"/>
    </row>
    <row r="10" spans="1:5" ht="39.75" customHeight="1" x14ac:dyDescent="0.2">
      <c r="A10" s="30"/>
      <c r="C10" s="41"/>
    </row>
    <row r="11" spans="1:5" ht="39.75" customHeight="1" x14ac:dyDescent="0.2">
      <c r="A11" s="39" t="s">
        <v>96</v>
      </c>
      <c r="B11" s="39">
        <v>700</v>
      </c>
      <c r="C11" s="41"/>
    </row>
    <row r="12" spans="1:5" ht="39.75" customHeight="1" x14ac:dyDescent="0.2">
      <c r="A12" s="6" t="s">
        <v>447</v>
      </c>
      <c r="B12" s="6">
        <v>10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O34"/>
  <sheetViews>
    <sheetView topLeftCell="B11" zoomScale="80" zoomScaleNormal="80" workbookViewId="0">
      <selection activeCell="G30" sqref="G30"/>
    </sheetView>
  </sheetViews>
  <sheetFormatPr baseColWidth="10" defaultRowHeight="15" x14ac:dyDescent="0.2"/>
  <cols>
    <col min="1" max="1" width="34.5703125" style="1" customWidth="1"/>
    <col min="2" max="2" width="24" style="1" customWidth="1"/>
    <col min="3" max="3" width="30.85546875" style="1" customWidth="1"/>
    <col min="4" max="4" width="12.140625" style="1" bestFit="1" customWidth="1"/>
    <col min="5" max="5" width="32.7109375" style="1" customWidth="1"/>
    <col min="6" max="6" width="11.42578125" style="1"/>
    <col min="7" max="7" width="16.5703125" style="1" customWidth="1"/>
    <col min="8" max="8" width="11.42578125" style="1"/>
    <col min="9" max="9" width="17" style="1" customWidth="1"/>
    <col min="10" max="10" width="11.42578125" style="1"/>
    <col min="11" max="11" width="17.140625" style="1" customWidth="1"/>
    <col min="12" max="12" width="11.42578125" style="1"/>
    <col min="13" max="13" width="23.140625" style="1" customWidth="1"/>
    <col min="14" max="16384" width="11.42578125" style="1"/>
  </cols>
  <sheetData>
    <row r="2" spans="1:9" ht="15.75" x14ac:dyDescent="0.25">
      <c r="A2" s="154" t="s">
        <v>53</v>
      </c>
      <c r="B2" s="154" t="s">
        <v>60</v>
      </c>
      <c r="C2" s="154" t="s">
        <v>61</v>
      </c>
      <c r="D2" s="163" t="s">
        <v>58</v>
      </c>
      <c r="E2" s="164"/>
      <c r="F2" s="164"/>
      <c r="G2" s="164"/>
      <c r="H2" s="164"/>
      <c r="I2" s="165"/>
    </row>
    <row r="3" spans="1:9" ht="15.75" x14ac:dyDescent="0.2">
      <c r="A3" s="155"/>
      <c r="B3" s="155"/>
      <c r="C3" s="155"/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</row>
    <row r="4" spans="1:9" ht="28.5" customHeight="1" x14ac:dyDescent="0.2">
      <c r="A4" s="7" t="s">
        <v>44</v>
      </c>
      <c r="B4" s="28">
        <f>COUNTA('DEFINICION DE GRADO DE FACTOR '!B5:G5)</f>
        <v>6</v>
      </c>
      <c r="C4" s="29">
        <f>(C13-E13)/(B4-1)</f>
        <v>25.2</v>
      </c>
      <c r="D4" s="28">
        <f>E13</f>
        <v>14</v>
      </c>
      <c r="E4" s="29">
        <f>D4+$C$4</f>
        <v>39.200000000000003</v>
      </c>
      <c r="F4" s="29">
        <f t="shared" ref="F4:I4" si="0">E4+$C$4</f>
        <v>64.400000000000006</v>
      </c>
      <c r="G4" s="29">
        <f t="shared" si="0"/>
        <v>89.600000000000009</v>
      </c>
      <c r="H4" s="29">
        <f t="shared" si="0"/>
        <v>114.80000000000001</v>
      </c>
      <c r="I4" s="29">
        <f t="shared" si="0"/>
        <v>140</v>
      </c>
    </row>
    <row r="5" spans="1:9" ht="23.25" customHeight="1" x14ac:dyDescent="0.2">
      <c r="A5" s="7" t="s">
        <v>68</v>
      </c>
      <c r="B5" s="28">
        <f>COUNTA('DEFINICION DE GRADO DE FACTOR '!B6:G6)</f>
        <v>5</v>
      </c>
      <c r="C5" s="29">
        <f t="shared" ref="C5:C9" si="1">(C14-E14)/(B5-1)</f>
        <v>15.75</v>
      </c>
      <c r="D5" s="28">
        <f t="shared" ref="D5:D9" si="2">E14</f>
        <v>7</v>
      </c>
      <c r="E5" s="29">
        <f>D5+$C$5</f>
        <v>22.75</v>
      </c>
      <c r="F5" s="29">
        <f t="shared" ref="F5:H5" si="3">E5+$C$5</f>
        <v>38.5</v>
      </c>
      <c r="G5" s="29">
        <f t="shared" si="3"/>
        <v>54.25</v>
      </c>
      <c r="H5" s="29">
        <f t="shared" si="3"/>
        <v>70</v>
      </c>
      <c r="I5" s="92"/>
    </row>
    <row r="6" spans="1:9" x14ac:dyDescent="0.2">
      <c r="A6" s="7" t="s">
        <v>69</v>
      </c>
      <c r="B6" s="28">
        <f>COUNTA('DEFINICION DE GRADO DE FACTOR '!B7:G7)</f>
        <v>4</v>
      </c>
      <c r="C6" s="29">
        <f t="shared" si="1"/>
        <v>63</v>
      </c>
      <c r="D6" s="28">
        <f t="shared" si="2"/>
        <v>21</v>
      </c>
      <c r="E6" s="29">
        <f>D6+$C$6</f>
        <v>84</v>
      </c>
      <c r="F6" s="29">
        <f t="shared" ref="F6:G6" si="4">E6+$C$6</f>
        <v>147</v>
      </c>
      <c r="G6" s="29">
        <f t="shared" si="4"/>
        <v>210</v>
      </c>
      <c r="H6" s="92"/>
      <c r="I6" s="92"/>
    </row>
    <row r="7" spans="1:9" x14ac:dyDescent="0.2">
      <c r="A7" s="7" t="s">
        <v>70</v>
      </c>
      <c r="B7" s="28">
        <f>COUNTA('DEFINICION DE GRADO DE FACTOR '!B8:G8)</f>
        <v>4</v>
      </c>
      <c r="C7" s="29">
        <f t="shared" si="1"/>
        <v>21</v>
      </c>
      <c r="D7" s="28">
        <f t="shared" si="2"/>
        <v>7</v>
      </c>
      <c r="E7" s="29">
        <f>D7+$C$7</f>
        <v>28</v>
      </c>
      <c r="F7" s="29">
        <f t="shared" ref="F7:G7" si="5">E7+$C$7</f>
        <v>49</v>
      </c>
      <c r="G7" s="29">
        <f t="shared" si="5"/>
        <v>70</v>
      </c>
      <c r="H7" s="92"/>
      <c r="I7" s="92"/>
    </row>
    <row r="8" spans="1:9" x14ac:dyDescent="0.2">
      <c r="A8" s="7" t="s">
        <v>71</v>
      </c>
      <c r="B8" s="28">
        <f>COUNTA('DEFINICION DE GRADO DE FACTOR '!B9:G9)</f>
        <v>3</v>
      </c>
      <c r="C8" s="29">
        <f t="shared" si="1"/>
        <v>31.5</v>
      </c>
      <c r="D8" s="28">
        <f t="shared" si="2"/>
        <v>7</v>
      </c>
      <c r="E8" s="29">
        <f>D8+$C$8</f>
        <v>38.5</v>
      </c>
      <c r="F8" s="29">
        <f>E8+$C$8</f>
        <v>70</v>
      </c>
      <c r="G8" s="92"/>
      <c r="H8" s="92"/>
      <c r="I8" s="92"/>
    </row>
    <row r="9" spans="1:9" x14ac:dyDescent="0.2">
      <c r="A9" s="6" t="s">
        <v>94</v>
      </c>
      <c r="B9" s="28">
        <f>COUNTA('DEFINICION DE GRADO DE FACTOR '!B10:G10)</f>
        <v>4</v>
      </c>
      <c r="C9" s="29">
        <f t="shared" si="1"/>
        <v>42</v>
      </c>
      <c r="D9" s="28">
        <f t="shared" si="2"/>
        <v>14</v>
      </c>
      <c r="E9" s="29">
        <f>D9+$C$9</f>
        <v>56</v>
      </c>
      <c r="F9" s="29">
        <f t="shared" ref="F9:G9" si="6">E9+$C$9</f>
        <v>98</v>
      </c>
      <c r="G9" s="29">
        <f t="shared" si="6"/>
        <v>140</v>
      </c>
      <c r="H9" s="92"/>
      <c r="I9" s="92"/>
    </row>
    <row r="10" spans="1:9" x14ac:dyDescent="0.2">
      <c r="E10" s="31"/>
      <c r="F10" s="31"/>
      <c r="G10" s="31"/>
      <c r="H10" s="31"/>
      <c r="I10" s="31"/>
    </row>
    <row r="12" spans="1:9" ht="15.75" x14ac:dyDescent="0.25">
      <c r="A12" s="21" t="s">
        <v>49</v>
      </c>
      <c r="B12" s="21" t="s">
        <v>50</v>
      </c>
      <c r="C12" s="21" t="s">
        <v>51</v>
      </c>
      <c r="D12" s="2" t="s">
        <v>95</v>
      </c>
      <c r="E12" s="21" t="s">
        <v>52</v>
      </c>
    </row>
    <row r="13" spans="1:9" x14ac:dyDescent="0.2">
      <c r="A13" s="7" t="s">
        <v>44</v>
      </c>
      <c r="B13" s="28">
        <v>20</v>
      </c>
      <c r="C13" s="28">
        <f>$B$21*B13/100</f>
        <v>140</v>
      </c>
      <c r="D13" s="28">
        <f>$B$22</f>
        <v>10</v>
      </c>
      <c r="E13" s="28">
        <f>$C13/D13</f>
        <v>14</v>
      </c>
    </row>
    <row r="14" spans="1:9" x14ac:dyDescent="0.2">
      <c r="A14" s="7" t="s">
        <v>68</v>
      </c>
      <c r="B14" s="28">
        <v>10</v>
      </c>
      <c r="C14" s="28">
        <f t="shared" ref="C14:C18" si="7">$B$21*B14/100</f>
        <v>70</v>
      </c>
      <c r="D14" s="38">
        <f t="shared" ref="D14:D18" si="8">$B$22</f>
        <v>10</v>
      </c>
      <c r="E14" s="28">
        <f t="shared" ref="E14:E18" si="9">$C14/D14</f>
        <v>7</v>
      </c>
    </row>
    <row r="15" spans="1:9" x14ac:dyDescent="0.2">
      <c r="A15" s="7" t="s">
        <v>92</v>
      </c>
      <c r="B15" s="28">
        <v>30</v>
      </c>
      <c r="C15" s="28">
        <f t="shared" si="7"/>
        <v>210</v>
      </c>
      <c r="D15" s="38">
        <f t="shared" si="8"/>
        <v>10</v>
      </c>
      <c r="E15" s="28">
        <f t="shared" si="9"/>
        <v>21</v>
      </c>
    </row>
    <row r="16" spans="1:9" x14ac:dyDescent="0.2">
      <c r="A16" s="7" t="s">
        <v>70</v>
      </c>
      <c r="B16" s="28">
        <v>10</v>
      </c>
      <c r="C16" s="28">
        <f t="shared" si="7"/>
        <v>70</v>
      </c>
      <c r="D16" s="38">
        <f t="shared" si="8"/>
        <v>10</v>
      </c>
      <c r="E16" s="28">
        <f t="shared" si="9"/>
        <v>7</v>
      </c>
    </row>
    <row r="17" spans="1:15" x14ac:dyDescent="0.2">
      <c r="A17" s="7" t="s">
        <v>93</v>
      </c>
      <c r="B17" s="28">
        <v>10</v>
      </c>
      <c r="C17" s="28">
        <f t="shared" si="7"/>
        <v>70</v>
      </c>
      <c r="D17" s="38">
        <f t="shared" si="8"/>
        <v>10</v>
      </c>
      <c r="E17" s="28">
        <f t="shared" si="9"/>
        <v>7</v>
      </c>
    </row>
    <row r="18" spans="1:15" x14ac:dyDescent="0.2">
      <c r="A18" s="7" t="s">
        <v>94</v>
      </c>
      <c r="B18" s="28">
        <v>20</v>
      </c>
      <c r="C18" s="28">
        <f t="shared" si="7"/>
        <v>140</v>
      </c>
      <c r="D18" s="38">
        <f t="shared" si="8"/>
        <v>10</v>
      </c>
      <c r="E18" s="28">
        <f t="shared" si="9"/>
        <v>14</v>
      </c>
    </row>
    <row r="21" spans="1:15" x14ac:dyDescent="0.2">
      <c r="A21" s="39" t="s">
        <v>96</v>
      </c>
      <c r="B21" s="39">
        <v>700</v>
      </c>
      <c r="D21" s="33"/>
    </row>
    <row r="22" spans="1:15" x14ac:dyDescent="0.2">
      <c r="A22" s="6" t="s">
        <v>95</v>
      </c>
      <c r="B22" s="6">
        <v>10</v>
      </c>
    </row>
    <row r="26" spans="1:15" ht="15.75" x14ac:dyDescent="0.2">
      <c r="A26" s="150" t="s">
        <v>5</v>
      </c>
      <c r="B26" s="166" t="s">
        <v>53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11"/>
    </row>
    <row r="27" spans="1:15" ht="15.75" x14ac:dyDescent="0.25">
      <c r="A27" s="168"/>
      <c r="B27" s="147" t="s">
        <v>54</v>
      </c>
      <c r="C27" s="149"/>
      <c r="D27" s="147" t="s">
        <v>45</v>
      </c>
      <c r="E27" s="149"/>
      <c r="F27" s="147" t="s">
        <v>55</v>
      </c>
      <c r="G27" s="149"/>
      <c r="H27" s="147" t="s">
        <v>56</v>
      </c>
      <c r="I27" s="149"/>
      <c r="J27" s="147" t="s">
        <v>27</v>
      </c>
      <c r="K27" s="149"/>
      <c r="L27" s="147" t="s">
        <v>47</v>
      </c>
      <c r="M27" s="149"/>
      <c r="N27" s="166" t="s">
        <v>57</v>
      </c>
      <c r="O27" s="167"/>
    </row>
    <row r="28" spans="1:15" ht="15.75" x14ac:dyDescent="0.2">
      <c r="A28" s="151"/>
      <c r="B28" s="21" t="s">
        <v>57</v>
      </c>
      <c r="C28" s="21" t="s">
        <v>58</v>
      </c>
      <c r="D28" s="21" t="s">
        <v>59</v>
      </c>
      <c r="E28" s="21" t="s">
        <v>10</v>
      </c>
      <c r="F28" s="21" t="s">
        <v>59</v>
      </c>
      <c r="G28" s="21" t="s">
        <v>58</v>
      </c>
      <c r="H28" s="21" t="s">
        <v>59</v>
      </c>
      <c r="I28" s="21" t="s">
        <v>58</v>
      </c>
      <c r="J28" s="21" t="s">
        <v>59</v>
      </c>
      <c r="K28" s="21" t="s">
        <v>58</v>
      </c>
      <c r="L28" s="21" t="s">
        <v>59</v>
      </c>
      <c r="M28" s="21" t="s">
        <v>58</v>
      </c>
      <c r="N28" s="166"/>
      <c r="O28" s="167"/>
    </row>
    <row r="29" spans="1:15" x14ac:dyDescent="0.2">
      <c r="A29" s="98" t="s">
        <v>101</v>
      </c>
      <c r="B29" s="108">
        <f>IF(C29="I",$D$4,IF(C29="II",$E$4,IF(C29="III",$F$4,IF(C29="IV",$G$4,IF(C29="V",$H$4,IF(C29="VI",$I$4))))))</f>
        <v>64.400000000000006</v>
      </c>
      <c r="C29" s="32" t="s">
        <v>40</v>
      </c>
      <c r="D29" s="108">
        <f>+IF(E29="I",$D$5,IF(E29="II",$E$5,IF(E29="III",$F$5,IF(E29="IV",$G$5,IF(E29="V",$H$5)))))</f>
        <v>70</v>
      </c>
      <c r="E29" s="100" t="s">
        <v>42</v>
      </c>
      <c r="F29" s="108">
        <f>+IF(G29="I",$D$6,IF(G29="II",$E$6,IF(G29="III",$F$6,IF(G29="IV",$G$6))))</f>
        <v>84</v>
      </c>
      <c r="G29" s="100" t="s">
        <v>39</v>
      </c>
      <c r="H29" s="108">
        <f>+IF(I29="I",$D$7,IF(I29="II",$E$7,IF(I29="III",$F$7,IF(I29="IV",$G$7))))</f>
        <v>70</v>
      </c>
      <c r="I29" s="100" t="s">
        <v>41</v>
      </c>
      <c r="J29" s="108">
        <f>+IF(K29="I",$D$8,IF(K29="II",$E$8,IF(K29="III",$F$8)))</f>
        <v>70</v>
      </c>
      <c r="K29" s="100" t="s">
        <v>40</v>
      </c>
      <c r="L29" s="108">
        <f>+IF(M29="I",$D$9,IF(M29="II",$E$9,IF(M29="III",$F$9,IF(M29="IV",$G$9))))</f>
        <v>14</v>
      </c>
      <c r="M29" s="100" t="s">
        <v>38</v>
      </c>
      <c r="N29" s="108">
        <f>+SUM(B29+D29+F29+H29+J29+L29)</f>
        <v>372.4</v>
      </c>
      <c r="O29" s="110"/>
    </row>
    <row r="30" spans="1:15" x14ac:dyDescent="0.2">
      <c r="A30" s="98" t="s">
        <v>97</v>
      </c>
      <c r="B30" s="108">
        <f t="shared" ref="B30:B33" si="10">IF(C30="I",$D$4,IF(C30="II",$E$4,IF(C30="III",$F$4,IF(C30="IV",$G$4,IF(C30="V",$H$4,IF(C30="VI",$I$4))))))</f>
        <v>114.80000000000001</v>
      </c>
      <c r="C30" s="32" t="s">
        <v>42</v>
      </c>
      <c r="D30" s="108">
        <f t="shared" ref="D30:D33" si="11">+IF(E30="I",$D$5,IF(E30="II",$E$5,IF(E30="III",$F$5,IF(E30="IV",$G$5,IF(E30="V",$H$5)))))</f>
        <v>70</v>
      </c>
      <c r="E30" s="100" t="s">
        <v>42</v>
      </c>
      <c r="F30" s="108">
        <f t="shared" ref="F30:F33" si="12">+IF(G30="I",$D$6,IF(G30="II",$E$6,IF(G30="III",$F$6,IF(G30="IV",$G$6))))</f>
        <v>21</v>
      </c>
      <c r="G30" s="100" t="s">
        <v>38</v>
      </c>
      <c r="H30" s="108">
        <f t="shared" ref="H30:H33" si="13">+IF(I30="I",$D$7,IF(I30="II",$E$7,IF(I30="III",$F$7,IF(I30="IV",$G$7))))</f>
        <v>70</v>
      </c>
      <c r="I30" s="100" t="s">
        <v>41</v>
      </c>
      <c r="J30" s="108">
        <f t="shared" ref="J30:J33" si="14">+IF(K30="I",$D$8,IF(K30="II",$E$8,IF(K30="III",$F$8)))</f>
        <v>38.5</v>
      </c>
      <c r="K30" s="100" t="s">
        <v>39</v>
      </c>
      <c r="L30" s="108">
        <f t="shared" ref="L30:L33" si="15">+IF(M30="I",$D$9,IF(M30="II",$E$9,IF(M30="III",$F$9,IF(M30="IV",$G$9))))</f>
        <v>14</v>
      </c>
      <c r="M30" s="100" t="s">
        <v>38</v>
      </c>
      <c r="N30" s="108">
        <f t="shared" ref="N30:N33" si="16">+SUM(B30+D30+F30+H30+J30+L30)</f>
        <v>328.3</v>
      </c>
      <c r="O30" s="110"/>
    </row>
    <row r="31" spans="1:15" x14ac:dyDescent="0.2">
      <c r="A31" s="99" t="s">
        <v>98</v>
      </c>
      <c r="B31" s="108">
        <f t="shared" si="10"/>
        <v>64.400000000000006</v>
      </c>
      <c r="C31" s="32" t="s">
        <v>40</v>
      </c>
      <c r="D31" s="108">
        <f t="shared" si="11"/>
        <v>54.25</v>
      </c>
      <c r="E31" s="100" t="s">
        <v>41</v>
      </c>
      <c r="F31" s="108">
        <f t="shared" si="12"/>
        <v>21</v>
      </c>
      <c r="G31" s="100" t="s">
        <v>38</v>
      </c>
      <c r="H31" s="108">
        <f t="shared" si="13"/>
        <v>70</v>
      </c>
      <c r="I31" s="100" t="s">
        <v>41</v>
      </c>
      <c r="J31" s="108">
        <f t="shared" si="14"/>
        <v>70</v>
      </c>
      <c r="K31" s="100" t="s">
        <v>40</v>
      </c>
      <c r="L31" s="108">
        <f t="shared" si="15"/>
        <v>14</v>
      </c>
      <c r="M31" s="100" t="s">
        <v>38</v>
      </c>
      <c r="N31" s="108">
        <f>+SUM(B31+D31+F31+H31+J31+L31)</f>
        <v>293.64999999999998</v>
      </c>
      <c r="O31" s="110"/>
    </row>
    <row r="32" spans="1:15" x14ac:dyDescent="0.2">
      <c r="A32" s="98" t="s">
        <v>99</v>
      </c>
      <c r="B32" s="108">
        <f t="shared" si="10"/>
        <v>64.400000000000006</v>
      </c>
      <c r="C32" s="32" t="s">
        <v>40</v>
      </c>
      <c r="D32" s="108">
        <f t="shared" si="11"/>
        <v>54.25</v>
      </c>
      <c r="E32" s="100" t="s">
        <v>41</v>
      </c>
      <c r="F32" s="108">
        <f t="shared" si="12"/>
        <v>21</v>
      </c>
      <c r="G32" s="100" t="s">
        <v>38</v>
      </c>
      <c r="H32" s="108">
        <f t="shared" si="13"/>
        <v>70</v>
      </c>
      <c r="I32" s="100" t="s">
        <v>41</v>
      </c>
      <c r="J32" s="108">
        <f t="shared" si="14"/>
        <v>38.5</v>
      </c>
      <c r="K32" s="100" t="s">
        <v>39</v>
      </c>
      <c r="L32" s="108">
        <f t="shared" si="15"/>
        <v>14</v>
      </c>
      <c r="M32" s="100" t="s">
        <v>38</v>
      </c>
      <c r="N32" s="108">
        <f t="shared" si="16"/>
        <v>262.14999999999998</v>
      </c>
      <c r="O32" s="110"/>
    </row>
    <row r="33" spans="1:15" x14ac:dyDescent="0.2">
      <c r="A33" s="99" t="s">
        <v>100</v>
      </c>
      <c r="B33" s="108">
        <f t="shared" si="10"/>
        <v>39.200000000000003</v>
      </c>
      <c r="C33" s="32" t="s">
        <v>39</v>
      </c>
      <c r="D33" s="108">
        <f t="shared" si="11"/>
        <v>38.5</v>
      </c>
      <c r="E33" s="100" t="s">
        <v>40</v>
      </c>
      <c r="F33" s="108">
        <f t="shared" si="12"/>
        <v>84</v>
      </c>
      <c r="G33" s="100" t="s">
        <v>39</v>
      </c>
      <c r="H33" s="108">
        <f t="shared" si="13"/>
        <v>7</v>
      </c>
      <c r="I33" s="100" t="s">
        <v>38</v>
      </c>
      <c r="J33" s="108">
        <f t="shared" si="14"/>
        <v>7</v>
      </c>
      <c r="K33" s="100" t="s">
        <v>38</v>
      </c>
      <c r="L33" s="108">
        <f t="shared" si="15"/>
        <v>56</v>
      </c>
      <c r="M33" s="100" t="s">
        <v>39</v>
      </c>
      <c r="N33" s="108">
        <f t="shared" si="16"/>
        <v>231.7</v>
      </c>
      <c r="O33" s="110"/>
    </row>
    <row r="34" spans="1:15" x14ac:dyDescent="0.2">
      <c r="B34" s="97"/>
      <c r="K34" s="17"/>
    </row>
  </sheetData>
  <mergeCells count="14">
    <mergeCell ref="B2:B3"/>
    <mergeCell ref="C2:C3"/>
    <mergeCell ref="D2:I2"/>
    <mergeCell ref="A2:A3"/>
    <mergeCell ref="A26:A28"/>
    <mergeCell ref="B27:C27"/>
    <mergeCell ref="D27:E27"/>
    <mergeCell ref="F27:G27"/>
    <mergeCell ref="H27:I27"/>
    <mergeCell ref="J27:K27"/>
    <mergeCell ref="L27:M27"/>
    <mergeCell ref="N27:N28"/>
    <mergeCell ref="O27:O28"/>
    <mergeCell ref="B26:N26"/>
  </mergeCells>
  <pageMargins left="0.7" right="0.7" top="0.75" bottom="0.75" header="0.3" footer="0.3"/>
  <pageSetup orientation="portrait" r:id="rId1"/>
  <ignoredErrors>
    <ignoredError sqref="B5:B9" emptyCellReferenc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K20"/>
  <sheetViews>
    <sheetView topLeftCell="A11" workbookViewId="0">
      <selection activeCell="I22" sqref="I22"/>
    </sheetView>
  </sheetViews>
  <sheetFormatPr baseColWidth="10" defaultRowHeight="15" x14ac:dyDescent="0.2"/>
  <cols>
    <col min="1" max="1" width="32.5703125" style="1" customWidth="1"/>
    <col min="2" max="2" width="15.7109375" style="1" customWidth="1"/>
    <col min="3" max="3" width="17.42578125" style="1" customWidth="1"/>
    <col min="4" max="4" width="11.42578125" style="1" customWidth="1"/>
    <col min="5" max="5" width="16.5703125" style="1" bestFit="1" customWidth="1"/>
    <col min="6" max="6" width="23.28515625" style="1" customWidth="1"/>
    <col min="7" max="8" width="11.42578125" style="1"/>
    <col min="9" max="9" width="35.5703125" style="1" customWidth="1"/>
    <col min="10" max="10" width="11.42578125" style="1"/>
    <col min="11" max="11" width="14.7109375" style="1" customWidth="1"/>
    <col min="12" max="16384" width="11.42578125" style="1"/>
  </cols>
  <sheetData>
    <row r="2" spans="1:11" ht="31.5" x14ac:dyDescent="0.25">
      <c r="A2" s="21" t="s">
        <v>1</v>
      </c>
      <c r="B2" s="21" t="s">
        <v>450</v>
      </c>
      <c r="C2" s="21" t="s">
        <v>451</v>
      </c>
      <c r="D2" s="21" t="s">
        <v>63</v>
      </c>
      <c r="E2" s="21" t="s">
        <v>453</v>
      </c>
      <c r="F2" s="22" t="s">
        <v>64</v>
      </c>
      <c r="I2" s="112" t="s">
        <v>144</v>
      </c>
      <c r="J2" s="112" t="s">
        <v>448</v>
      </c>
      <c r="K2" s="112" t="s">
        <v>449</v>
      </c>
    </row>
    <row r="3" spans="1:11" ht="19.5" customHeight="1" x14ac:dyDescent="0.25">
      <c r="A3" s="46" t="s">
        <v>114</v>
      </c>
      <c r="B3" s="91">
        <f>J3</f>
        <v>231.7</v>
      </c>
      <c r="C3" s="50">
        <f>K3</f>
        <v>23</v>
      </c>
      <c r="D3" s="91">
        <f>(B3*C3)</f>
        <v>5329.0999999999995</v>
      </c>
      <c r="E3" s="120">
        <f>B3*B3</f>
        <v>53684.889999999992</v>
      </c>
      <c r="F3" s="116">
        <f>(F$14*B3)+F$19</f>
        <v>28.653590739196659</v>
      </c>
      <c r="I3" s="114" t="s">
        <v>114</v>
      </c>
      <c r="J3" s="108">
        <f>' ASIGNACION DE PUNTOS TBL 2'!N33</f>
        <v>231.7</v>
      </c>
      <c r="K3" s="116">
        <v>23</v>
      </c>
    </row>
    <row r="4" spans="1:11" ht="19.5" customHeight="1" x14ac:dyDescent="0.25">
      <c r="A4" s="47" t="s">
        <v>99</v>
      </c>
      <c r="B4" s="91">
        <f t="shared" ref="B4:B7" si="0">J4</f>
        <v>262.14999999999998</v>
      </c>
      <c r="C4" s="50">
        <f t="shared" ref="C4:C7" si="1">K4</f>
        <v>71</v>
      </c>
      <c r="D4" s="91">
        <f t="shared" ref="D4:D7" si="2">(B4*C4)</f>
        <v>18612.649999999998</v>
      </c>
      <c r="E4" s="120">
        <f t="shared" ref="E4:E7" si="3">B4*B4</f>
        <v>68722.622499999983</v>
      </c>
      <c r="F4" s="116">
        <f t="shared" ref="F4:F7" si="4">(F$14*B4)+F$19</f>
        <v>70.189352977466172</v>
      </c>
      <c r="I4" s="114" t="s">
        <v>99</v>
      </c>
      <c r="J4" s="108">
        <f>' ASIGNACION DE PUNTOS TBL 2'!N32</f>
        <v>262.14999999999998</v>
      </c>
      <c r="K4" s="116">
        <v>71</v>
      </c>
    </row>
    <row r="5" spans="1:11" ht="18" customHeight="1" x14ac:dyDescent="0.25">
      <c r="A5" s="47" t="s">
        <v>444</v>
      </c>
      <c r="B5" s="91">
        <f t="shared" si="0"/>
        <v>293.64999999999998</v>
      </c>
      <c r="C5" s="50">
        <f t="shared" si="1"/>
        <v>119</v>
      </c>
      <c r="D5" s="91">
        <f t="shared" si="2"/>
        <v>34944.35</v>
      </c>
      <c r="E5" s="120">
        <f t="shared" si="3"/>
        <v>86230.32249999998</v>
      </c>
      <c r="F5" s="116">
        <f t="shared" si="4"/>
        <v>113.15738287912421</v>
      </c>
      <c r="I5" s="114" t="s">
        <v>444</v>
      </c>
      <c r="J5" s="108">
        <f>' ASIGNACION DE PUNTOS TBL 2'!N31</f>
        <v>293.64999999999998</v>
      </c>
      <c r="K5" s="116">
        <v>119</v>
      </c>
    </row>
    <row r="6" spans="1:11" ht="18.75" customHeight="1" x14ac:dyDescent="0.25">
      <c r="A6" s="47" t="s">
        <v>435</v>
      </c>
      <c r="B6" s="91">
        <f t="shared" si="0"/>
        <v>328.3</v>
      </c>
      <c r="C6" s="50">
        <f t="shared" si="1"/>
        <v>166</v>
      </c>
      <c r="D6" s="91">
        <f t="shared" si="2"/>
        <v>54497.8</v>
      </c>
      <c r="E6" s="120">
        <f t="shared" si="3"/>
        <v>107780.89000000001</v>
      </c>
      <c r="F6" s="116">
        <f t="shared" si="4"/>
        <v>160.42221577094818</v>
      </c>
      <c r="I6" s="114" t="s">
        <v>435</v>
      </c>
      <c r="J6" s="108">
        <f>' ASIGNACION DE PUNTOS TBL 2'!N30</f>
        <v>328.3</v>
      </c>
      <c r="K6" s="116">
        <v>166</v>
      </c>
    </row>
    <row r="7" spans="1:11" ht="20.25" customHeight="1" x14ac:dyDescent="0.25">
      <c r="A7" s="47" t="s">
        <v>105</v>
      </c>
      <c r="B7" s="91">
        <f t="shared" si="0"/>
        <v>372.4</v>
      </c>
      <c r="C7" s="50">
        <f t="shared" si="1"/>
        <v>214</v>
      </c>
      <c r="D7" s="91">
        <f t="shared" si="2"/>
        <v>79693.599999999991</v>
      </c>
      <c r="E7" s="120">
        <f t="shared" si="3"/>
        <v>138681.75999999998</v>
      </c>
      <c r="F7" s="116">
        <f t="shared" si="4"/>
        <v>220.57745763326943</v>
      </c>
      <c r="I7" s="114" t="s">
        <v>105</v>
      </c>
      <c r="J7" s="108">
        <f>' ASIGNACION DE PUNTOS TBL 2'!N29</f>
        <v>372.4</v>
      </c>
      <c r="K7" s="116">
        <v>214</v>
      </c>
    </row>
    <row r="8" spans="1:11" ht="15.75" x14ac:dyDescent="0.2">
      <c r="A8" s="21" t="s">
        <v>65</v>
      </c>
      <c r="B8" s="90">
        <f>SUM(B3:B7)</f>
        <v>1488.1999999999998</v>
      </c>
      <c r="C8" s="90">
        <f t="shared" ref="C8:E8" si="5">SUM(C3:C7)</f>
        <v>593</v>
      </c>
      <c r="D8" s="90">
        <f t="shared" si="5"/>
        <v>193077.5</v>
      </c>
      <c r="E8" s="121">
        <f t="shared" si="5"/>
        <v>455100.48499999999</v>
      </c>
      <c r="F8" s="118"/>
    </row>
    <row r="10" spans="1:11" x14ac:dyDescent="0.2">
      <c r="A10" s="119" t="s">
        <v>452</v>
      </c>
      <c r="B10" s="119">
        <f>COUNTA(A3:A7)</f>
        <v>5</v>
      </c>
    </row>
    <row r="11" spans="1:11" x14ac:dyDescent="0.2">
      <c r="A11" s="101"/>
      <c r="B11" s="101"/>
    </row>
    <row r="12" spans="1:11" x14ac:dyDescent="0.2">
      <c r="A12" s="101"/>
      <c r="B12" s="101"/>
    </row>
    <row r="13" spans="1:11" ht="15.75" thickBot="1" x14ac:dyDescent="0.25"/>
    <row r="14" spans="1:11" ht="15.75" thickBot="1" x14ac:dyDescent="0.25">
      <c r="B14" s="95" t="s">
        <v>20</v>
      </c>
      <c r="C14" s="169">
        <f>(B10*(D8)-(B8*C8))</f>
        <v>82884.90000000014</v>
      </c>
      <c r="D14" s="170"/>
      <c r="E14" s="171"/>
      <c r="F14" s="117">
        <f>C14/C15</f>
        <v>1.3640644413224789</v>
      </c>
    </row>
    <row r="15" spans="1:11" x14ac:dyDescent="0.2">
      <c r="A15" s="115"/>
      <c r="C15" s="172">
        <f>(B10*(E8)-(B8*B8))</f>
        <v>60763.185000000522</v>
      </c>
      <c r="D15" s="172"/>
      <c r="E15" s="172"/>
    </row>
    <row r="18" spans="1:6" ht="15.75" thickBot="1" x14ac:dyDescent="0.25"/>
    <row r="19" spans="1:6" ht="15.75" thickBot="1" x14ac:dyDescent="0.25">
      <c r="A19" s="35"/>
      <c r="B19" s="95" t="s">
        <v>21</v>
      </c>
      <c r="C19" s="169">
        <f>(C8*E8)-(B8*D8)</f>
        <v>-17463347.894999921</v>
      </c>
      <c r="D19" s="170"/>
      <c r="E19" s="171"/>
      <c r="F19" s="117">
        <f>C19/C20</f>
        <v>-287.40014031522168</v>
      </c>
    </row>
    <row r="20" spans="1:6" x14ac:dyDescent="0.2">
      <c r="C20" s="172">
        <f>(B10*(E8)-(B8*B8))</f>
        <v>60763.185000000522</v>
      </c>
      <c r="D20" s="172"/>
      <c r="E20" s="172"/>
    </row>
  </sheetData>
  <mergeCells count="4">
    <mergeCell ref="C14:E14"/>
    <mergeCell ref="C15:E15"/>
    <mergeCell ref="C19:E19"/>
    <mergeCell ref="C20:E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DESCRICION DE CARGO</vt:lpstr>
      <vt:lpstr>COMPARACION POR PARES  </vt:lpstr>
      <vt:lpstr>COMPARACION POR PUNTOS </vt:lpstr>
      <vt:lpstr>CATEGORIA Y NIVELES</vt:lpstr>
      <vt:lpstr>COMPARACION DE FACTORES </vt:lpstr>
      <vt:lpstr>DEFINICION DE GRADO DE FACTOR </vt:lpstr>
      <vt:lpstr>ASIGNACION DE PUNTOS TBL 1 </vt:lpstr>
      <vt:lpstr> ASIGNACION DE PUNTOS TBL 2</vt:lpstr>
      <vt:lpstr>AJUSTES A LA ESCALA SALARIAL </vt:lpstr>
      <vt:lpstr>ENCUESTA SALARIAL</vt:lpstr>
      <vt:lpstr>PERFIL GERENTE</vt:lpstr>
      <vt:lpstr>PERFIL DIRECTOR PRODUCCION </vt:lpstr>
      <vt:lpstr>PERFIL ASISTENTE MERCADEO-VENTA</vt:lpstr>
      <vt:lpstr>PERFIL AXULIAR COMPRAS</vt:lpstr>
      <vt:lpstr>PERFIL AXU.FABRICACION-SOLDADOR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2015-05-28T12:17:47Z</dcterms:modified>
</cp:coreProperties>
</file>